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parodes\Desktop\DAD2022\COF\Execução Orçamento\Orçamento 2023\"/>
    </mc:Choice>
  </mc:AlternateContent>
  <bookViews>
    <workbookView xWindow="0" yWindow="0" windowWidth="28800" windowHeight="11340" activeTab="1"/>
  </bookViews>
  <sheets>
    <sheet name="2023" sheetId="2" r:id="rId1"/>
    <sheet name="Gráficos " sheetId="3" r:id="rId2"/>
  </sheets>
  <definedNames>
    <definedName name="Z_CCE0B0EF_5060_4AE1_88F1_7581E79D2DE0_.wvu.FilterData" localSheetId="0" hidden="1">'2023'!$C$1:$C$1001</definedName>
  </definedNames>
  <calcPr calcId="162913"/>
  <customWorkbookViews>
    <customWorkbookView name="Filtro 1" guid="{CCE0B0EF-5060-4AE1-88F1-7581E79D2DE0}" maximized="1" windowWidth="0" windowHeight="0" activeSheetId="0"/>
  </customWorkbookViews>
  <extLst>
    <ext uri="GoogleSheetsCustomDataVersion2">
      <go:sheetsCustomData xmlns:go="http://customooxmlschemas.google.com/" r:id="rId8" roundtripDataChecksum="u9zqMAUL8tqomGLhPuRCUM+uRX6QCwFwVZh0spCdIdw="/>
    </ext>
  </extLst>
</workbook>
</file>

<file path=xl/calcChain.xml><?xml version="1.0" encoding="utf-8"?>
<calcChain xmlns="http://schemas.openxmlformats.org/spreadsheetml/2006/main">
  <c r="BW184" i="2" l="1"/>
  <c r="BV184" i="2"/>
  <c r="BU184" i="2"/>
  <c r="BT184" i="2"/>
  <c r="BS184" i="2"/>
  <c r="BR184" i="2"/>
  <c r="BQ184" i="2"/>
  <c r="BP184" i="2"/>
  <c r="BO184" i="2"/>
  <c r="BN184" i="2"/>
  <c r="BM184" i="2"/>
  <c r="BL184" i="2"/>
  <c r="S184" i="2" s="1"/>
  <c r="BK184" i="2"/>
  <c r="BJ184" i="2"/>
  <c r="BI184" i="2"/>
  <c r="BH184" i="2"/>
  <c r="BG184" i="2"/>
  <c r="BF184" i="2"/>
  <c r="BE184" i="2"/>
  <c r="BD184" i="2"/>
  <c r="BC184" i="2"/>
  <c r="BB184" i="2"/>
  <c r="BA184" i="2"/>
  <c r="AZ184" i="2"/>
  <c r="AY184" i="2"/>
  <c r="AX184" i="2"/>
  <c r="AW184" i="2"/>
  <c r="AV184" i="2"/>
  <c r="AU184" i="2"/>
  <c r="AT184" i="2"/>
  <c r="AS184" i="2"/>
  <c r="AR184" i="2"/>
  <c r="AQ184" i="2"/>
  <c r="AP184" i="2"/>
  <c r="AO184" i="2"/>
  <c r="AN184" i="2"/>
  <c r="AM184" i="2"/>
  <c r="AL184" i="2"/>
  <c r="AK184" i="2"/>
  <c r="AJ184" i="2"/>
  <c r="AI184" i="2"/>
  <c r="AH184" i="2"/>
  <c r="AG184" i="2"/>
  <c r="AF184" i="2"/>
  <c r="AE184" i="2"/>
  <c r="AD184" i="2"/>
  <c r="AC184" i="2"/>
  <c r="AB184" i="2"/>
  <c r="P184" i="2" s="1"/>
  <c r="Y184" i="2" s="1"/>
  <c r="AA184" i="2"/>
  <c r="BW182" i="2"/>
  <c r="BV182" i="2"/>
  <c r="BU182" i="2"/>
  <c r="BT182" i="2"/>
  <c r="BS182" i="2"/>
  <c r="BR182" i="2"/>
  <c r="BQ182" i="2"/>
  <c r="BP182" i="2"/>
  <c r="BO182" i="2"/>
  <c r="BN182" i="2"/>
  <c r="BM182" i="2"/>
  <c r="BL182" i="2"/>
  <c r="S182" i="2" s="1"/>
  <c r="BK182" i="2"/>
  <c r="BJ182" i="2"/>
  <c r="BI182" i="2"/>
  <c r="BH182" i="2"/>
  <c r="BG182" i="2"/>
  <c r="BF182" i="2"/>
  <c r="BE182" i="2"/>
  <c r="BD182" i="2"/>
  <c r="BC182" i="2"/>
  <c r="BB182" i="2"/>
  <c r="BA182" i="2"/>
  <c r="AZ182" i="2"/>
  <c r="AY182" i="2"/>
  <c r="AX182" i="2"/>
  <c r="AW182" i="2"/>
  <c r="AV182" i="2"/>
  <c r="AU182" i="2"/>
  <c r="AT182" i="2"/>
  <c r="AS182" i="2"/>
  <c r="AR182" i="2"/>
  <c r="AQ182" i="2"/>
  <c r="AP182" i="2"/>
  <c r="AO182" i="2"/>
  <c r="AN182" i="2"/>
  <c r="AM182" i="2"/>
  <c r="AL182" i="2"/>
  <c r="AK182" i="2"/>
  <c r="AJ182" i="2"/>
  <c r="AI182" i="2"/>
  <c r="AH182" i="2"/>
  <c r="AG182" i="2"/>
  <c r="AF182" i="2"/>
  <c r="AE182" i="2"/>
  <c r="AD182" i="2"/>
  <c r="AC182" i="2"/>
  <c r="AB182" i="2"/>
  <c r="P182" i="2" s="1"/>
  <c r="Y182" i="2" s="1"/>
  <c r="AA182" i="2"/>
  <c r="BK194" i="2"/>
  <c r="BL194" i="2"/>
  <c r="BM194" i="2"/>
  <c r="BN194" i="2"/>
  <c r="BO194" i="2"/>
  <c r="BP194" i="2"/>
  <c r="BQ194" i="2"/>
  <c r="BR194" i="2"/>
  <c r="BS194" i="2"/>
  <c r="BT194" i="2"/>
  <c r="BU194" i="2"/>
  <c r="BV194" i="2"/>
  <c r="BW194" i="2"/>
  <c r="BK192" i="2"/>
  <c r="BL192" i="2"/>
  <c r="BM192" i="2"/>
  <c r="BN192" i="2"/>
  <c r="BO192" i="2"/>
  <c r="BP192" i="2"/>
  <c r="BQ192" i="2"/>
  <c r="BR192" i="2"/>
  <c r="BS192" i="2"/>
  <c r="BT192" i="2"/>
  <c r="BU192" i="2"/>
  <c r="BV192" i="2"/>
  <c r="BW192" i="2"/>
  <c r="BK190" i="2"/>
  <c r="BL190" i="2"/>
  <c r="BM190" i="2"/>
  <c r="BN190" i="2"/>
  <c r="BO190" i="2"/>
  <c r="BP190" i="2"/>
  <c r="BQ190" i="2"/>
  <c r="BR190" i="2"/>
  <c r="BS190" i="2"/>
  <c r="BT190" i="2"/>
  <c r="BU190" i="2"/>
  <c r="BV190" i="2"/>
  <c r="BW190" i="2"/>
  <c r="AB190" i="2"/>
  <c r="AC190" i="2"/>
  <c r="AD190" i="2"/>
  <c r="AE190" i="2"/>
  <c r="AF190" i="2"/>
  <c r="AG190" i="2"/>
  <c r="O190" i="2" s="1"/>
  <c r="AH190" i="2"/>
  <c r="AI190" i="2"/>
  <c r="AJ190" i="2"/>
  <c r="AK190" i="2"/>
  <c r="AL190" i="2"/>
  <c r="AM190" i="2"/>
  <c r="AN190" i="2"/>
  <c r="AO190" i="2"/>
  <c r="AP190" i="2"/>
  <c r="AQ190" i="2"/>
  <c r="AR190" i="2"/>
  <c r="AS190" i="2"/>
  <c r="AT190" i="2"/>
  <c r="AU190" i="2"/>
  <c r="AV190" i="2"/>
  <c r="AW190" i="2"/>
  <c r="AX190" i="2"/>
  <c r="AY190" i="2"/>
  <c r="AZ190" i="2"/>
  <c r="BA190" i="2"/>
  <c r="BB190" i="2"/>
  <c r="BC190" i="2"/>
  <c r="BD190" i="2"/>
  <c r="BE190" i="2"/>
  <c r="BF190" i="2"/>
  <c r="BG190" i="2"/>
  <c r="BH190" i="2"/>
  <c r="BI190" i="2"/>
  <c r="BJ190" i="2"/>
  <c r="AB192" i="2"/>
  <c r="S192" i="2" s="1"/>
  <c r="AC192" i="2"/>
  <c r="AD192" i="2"/>
  <c r="AE192" i="2"/>
  <c r="AF192" i="2"/>
  <c r="AG192" i="2"/>
  <c r="AH192" i="2"/>
  <c r="AI192" i="2"/>
  <c r="AJ192" i="2"/>
  <c r="AK192" i="2"/>
  <c r="AL192" i="2"/>
  <c r="AM192" i="2"/>
  <c r="AN192" i="2"/>
  <c r="AO192" i="2"/>
  <c r="AP192" i="2"/>
  <c r="AQ192" i="2"/>
  <c r="AR192" i="2"/>
  <c r="AS192" i="2"/>
  <c r="AT192" i="2"/>
  <c r="AU192" i="2"/>
  <c r="AV192" i="2"/>
  <c r="AW192" i="2"/>
  <c r="AX192" i="2"/>
  <c r="AY192" i="2"/>
  <c r="AZ192" i="2"/>
  <c r="BA192" i="2"/>
  <c r="BB192" i="2"/>
  <c r="BC192" i="2"/>
  <c r="BD192" i="2"/>
  <c r="BE192" i="2"/>
  <c r="BF192" i="2"/>
  <c r="BG192" i="2"/>
  <c r="BH192" i="2"/>
  <c r="BI192" i="2"/>
  <c r="BJ192" i="2"/>
  <c r="AB194" i="2"/>
  <c r="AC194" i="2"/>
  <c r="T194" i="2" s="1"/>
  <c r="AD194" i="2"/>
  <c r="AE194" i="2"/>
  <c r="AF194" i="2"/>
  <c r="AG194" i="2"/>
  <c r="AH194" i="2"/>
  <c r="AI194" i="2"/>
  <c r="AJ194" i="2"/>
  <c r="AK194" i="2"/>
  <c r="AL194" i="2"/>
  <c r="AM194" i="2"/>
  <c r="AN194" i="2"/>
  <c r="AO194" i="2"/>
  <c r="AP194" i="2"/>
  <c r="AQ194" i="2"/>
  <c r="AR194" i="2"/>
  <c r="AS194" i="2"/>
  <c r="AT194" i="2"/>
  <c r="AU194" i="2"/>
  <c r="AV194" i="2"/>
  <c r="AW194" i="2"/>
  <c r="AX194" i="2"/>
  <c r="AY194" i="2"/>
  <c r="AZ194" i="2"/>
  <c r="BA194" i="2"/>
  <c r="BB194" i="2"/>
  <c r="BC194" i="2"/>
  <c r="BD194" i="2"/>
  <c r="BE194" i="2"/>
  <c r="BF194" i="2"/>
  <c r="BG194" i="2"/>
  <c r="BH194" i="2"/>
  <c r="BI194" i="2"/>
  <c r="BJ194" i="2"/>
  <c r="AA194" i="2"/>
  <c r="AA192" i="2"/>
  <c r="AA190" i="2"/>
  <c r="AB204" i="2"/>
  <c r="AC204" i="2"/>
  <c r="AD204" i="2"/>
  <c r="AE204" i="2"/>
  <c r="AF204" i="2"/>
  <c r="AG204" i="2"/>
  <c r="O204" i="2" s="1"/>
  <c r="X204" i="2" s="1"/>
  <c r="AH204" i="2"/>
  <c r="AI204" i="2"/>
  <c r="AJ204" i="2"/>
  <c r="AK204" i="2"/>
  <c r="AL204" i="2"/>
  <c r="AM204" i="2"/>
  <c r="AN204" i="2"/>
  <c r="AO204" i="2"/>
  <c r="AP204" i="2"/>
  <c r="AQ204" i="2"/>
  <c r="AR204" i="2"/>
  <c r="AS204" i="2"/>
  <c r="AS196" i="2" s="1"/>
  <c r="AT204" i="2"/>
  <c r="AU204" i="2"/>
  <c r="AV204" i="2"/>
  <c r="AW204" i="2"/>
  <c r="AX204" i="2"/>
  <c r="AY204" i="2"/>
  <c r="AZ204" i="2"/>
  <c r="BA204" i="2"/>
  <c r="BB204" i="2"/>
  <c r="BC204" i="2"/>
  <c r="BD204" i="2"/>
  <c r="BE204" i="2"/>
  <c r="BF204" i="2"/>
  <c r="BG204" i="2"/>
  <c r="BH204" i="2"/>
  <c r="BI204" i="2"/>
  <c r="BJ204" i="2"/>
  <c r="BK204" i="2"/>
  <c r="R204" i="2" s="1"/>
  <c r="BL204" i="2"/>
  <c r="BM204" i="2"/>
  <c r="BN204" i="2"/>
  <c r="BO204" i="2"/>
  <c r="BP204" i="2"/>
  <c r="BQ204" i="2"/>
  <c r="BR204" i="2"/>
  <c r="BS204" i="2"/>
  <c r="BT204" i="2"/>
  <c r="BU204" i="2"/>
  <c r="BV204" i="2"/>
  <c r="BW204" i="2"/>
  <c r="AA204" i="2"/>
  <c r="BN201" i="2"/>
  <c r="BN199" i="2"/>
  <c r="BN197" i="2"/>
  <c r="S257" i="3"/>
  <c r="P257" i="3"/>
  <c r="S256" i="3"/>
  <c r="P256" i="3"/>
  <c r="S255" i="3"/>
  <c r="P255" i="3"/>
  <c r="S254" i="3"/>
  <c r="P254" i="3"/>
  <c r="S253" i="3"/>
  <c r="P253" i="3"/>
  <c r="S252" i="3"/>
  <c r="P252" i="3"/>
  <c r="S251" i="3"/>
  <c r="P251" i="3"/>
  <c r="S250" i="3"/>
  <c r="P250" i="3"/>
  <c r="S249" i="3"/>
  <c r="P249" i="3"/>
  <c r="S248" i="3"/>
  <c r="P248" i="3"/>
  <c r="S247" i="3"/>
  <c r="P247" i="3"/>
  <c r="S246" i="3"/>
  <c r="P246" i="3"/>
  <c r="S245" i="3"/>
  <c r="P245" i="3"/>
  <c r="S244" i="3"/>
  <c r="P244" i="3"/>
  <c r="S241" i="3"/>
  <c r="P241" i="3"/>
  <c r="S240" i="3"/>
  <c r="P240" i="3"/>
  <c r="S239" i="3"/>
  <c r="P239" i="3"/>
  <c r="S238" i="3"/>
  <c r="P238" i="3"/>
  <c r="S237" i="3"/>
  <c r="P237" i="3"/>
  <c r="S236" i="3"/>
  <c r="P236" i="3"/>
  <c r="S235" i="3"/>
  <c r="P235" i="3"/>
  <c r="S234" i="3"/>
  <c r="P234" i="3"/>
  <c r="S233" i="3"/>
  <c r="P233" i="3"/>
  <c r="S232" i="3"/>
  <c r="P232" i="3"/>
  <c r="S231" i="3"/>
  <c r="P231" i="3"/>
  <c r="S230" i="3"/>
  <c r="P230" i="3"/>
  <c r="S229" i="3"/>
  <c r="P229" i="3"/>
  <c r="S228" i="3"/>
  <c r="P224" i="3"/>
  <c r="T219" i="3"/>
  <c r="S219" i="3"/>
  <c r="R219" i="3"/>
  <c r="P219" i="3"/>
  <c r="T218" i="3"/>
  <c r="S218" i="3"/>
  <c r="R218" i="3"/>
  <c r="U218" i="3" s="1"/>
  <c r="P218" i="3"/>
  <c r="T217" i="3"/>
  <c r="S217" i="3"/>
  <c r="P217" i="3"/>
  <c r="U216" i="3"/>
  <c r="T216" i="3"/>
  <c r="S216" i="3"/>
  <c r="R216" i="3" s="1"/>
  <c r="P216" i="3"/>
  <c r="U215" i="3"/>
  <c r="T215" i="3"/>
  <c r="R215" i="3" s="1"/>
  <c r="S215" i="3"/>
  <c r="P215" i="3"/>
  <c r="T214" i="3"/>
  <c r="S214" i="3"/>
  <c r="R214" i="3" s="1"/>
  <c r="P214" i="3"/>
  <c r="T213" i="3"/>
  <c r="S213" i="3"/>
  <c r="R213" i="3" s="1"/>
  <c r="P213" i="3"/>
  <c r="T212" i="3"/>
  <c r="S212" i="3"/>
  <c r="R212" i="3"/>
  <c r="U212" i="3" s="1"/>
  <c r="P212" i="3"/>
  <c r="T211" i="3"/>
  <c r="U211" i="3" s="1"/>
  <c r="S211" i="3"/>
  <c r="R211" i="3"/>
  <c r="P211" i="3"/>
  <c r="U208" i="3"/>
  <c r="T208" i="3"/>
  <c r="S208" i="3"/>
  <c r="R208" i="3" s="1"/>
  <c r="P208" i="3"/>
  <c r="U207" i="3"/>
  <c r="T207" i="3"/>
  <c r="R207" i="3" s="1"/>
  <c r="S207" i="3"/>
  <c r="P207" i="3"/>
  <c r="T206" i="3"/>
  <c r="S206" i="3"/>
  <c r="R206" i="3" s="1"/>
  <c r="P206" i="3"/>
  <c r="T205" i="3"/>
  <c r="P205" i="3"/>
  <c r="P204" i="3"/>
  <c r="P203" i="3"/>
  <c r="U202" i="3"/>
  <c r="T202" i="3"/>
  <c r="S202" i="3"/>
  <c r="R202" i="3" s="1"/>
  <c r="P202" i="3"/>
  <c r="U201" i="3"/>
  <c r="T201" i="3"/>
  <c r="R201" i="3" s="1"/>
  <c r="S201" i="3"/>
  <c r="P201" i="3"/>
  <c r="T200" i="3"/>
  <c r="S200" i="3"/>
  <c r="R200" i="3" s="1"/>
  <c r="P200" i="3"/>
  <c r="T199" i="3"/>
  <c r="S199" i="3"/>
  <c r="R199" i="3" s="1"/>
  <c r="P199" i="3"/>
  <c r="P198" i="3"/>
  <c r="K182" i="3"/>
  <c r="H182" i="3"/>
  <c r="K181" i="3"/>
  <c r="H181" i="3"/>
  <c r="K180" i="3"/>
  <c r="H180" i="3"/>
  <c r="K179" i="3"/>
  <c r="H179" i="3"/>
  <c r="K178" i="3"/>
  <c r="H178" i="3"/>
  <c r="K177" i="3"/>
  <c r="H177" i="3"/>
  <c r="K176" i="3"/>
  <c r="H176" i="3"/>
  <c r="K175" i="3"/>
  <c r="H175" i="3"/>
  <c r="R174" i="3"/>
  <c r="S174" i="3" s="1"/>
  <c r="T174" i="3" s="1"/>
  <c r="Q174" i="3"/>
  <c r="K174" i="3"/>
  <c r="H174" i="3"/>
  <c r="Q173" i="3"/>
  <c r="K173" i="3"/>
  <c r="H173" i="3"/>
  <c r="R172" i="3"/>
  <c r="S172" i="3" s="1"/>
  <c r="T172" i="3" s="1"/>
  <c r="Q172" i="3"/>
  <c r="K172" i="3"/>
  <c r="H172" i="3"/>
  <c r="K171" i="3"/>
  <c r="H171" i="3"/>
  <c r="N169" i="3"/>
  <c r="I169" i="3"/>
  <c r="R147" i="3"/>
  <c r="S142" i="3"/>
  <c r="N142" i="3"/>
  <c r="M122" i="3"/>
  <c r="M148" i="3" s="1"/>
  <c r="M121" i="3"/>
  <c r="M147" i="3" s="1"/>
  <c r="K120" i="3"/>
  <c r="K117" i="3"/>
  <c r="N115" i="3"/>
  <c r="I115" i="3"/>
  <c r="K95" i="3"/>
  <c r="K122" i="3" s="1"/>
  <c r="K94" i="3"/>
  <c r="K121" i="3" s="1"/>
  <c r="K93" i="3"/>
  <c r="K92" i="3"/>
  <c r="K119" i="3" s="1"/>
  <c r="K91" i="3"/>
  <c r="K118" i="3" s="1"/>
  <c r="K90" i="3"/>
  <c r="M88" i="3"/>
  <c r="K67" i="3"/>
  <c r="K66" i="3"/>
  <c r="E66" i="3"/>
  <c r="K65" i="3"/>
  <c r="E65" i="3"/>
  <c r="B65" i="3"/>
  <c r="K64" i="3"/>
  <c r="E64" i="3"/>
  <c r="B64" i="3"/>
  <c r="K63" i="3"/>
  <c r="E63" i="3"/>
  <c r="K62" i="3"/>
  <c r="M61" i="3"/>
  <c r="I61" i="3"/>
  <c r="F61" i="3"/>
  <c r="C61" i="3"/>
  <c r="M45" i="3"/>
  <c r="M44" i="3"/>
  <c r="M43" i="3"/>
  <c r="M42" i="3"/>
  <c r="M41" i="3"/>
  <c r="M40" i="3"/>
  <c r="H38" i="3"/>
  <c r="E38" i="3"/>
  <c r="B38" i="3"/>
  <c r="H37" i="3"/>
  <c r="E37" i="3"/>
  <c r="B37" i="3"/>
  <c r="H36" i="3"/>
  <c r="E36" i="3"/>
  <c r="B36" i="3"/>
  <c r="H35" i="3"/>
  <c r="E35" i="3"/>
  <c r="B35" i="3"/>
  <c r="H34" i="3"/>
  <c r="E34" i="3"/>
  <c r="B34" i="3"/>
  <c r="H33" i="3"/>
  <c r="E33" i="3"/>
  <c r="M32" i="3"/>
  <c r="I32" i="3"/>
  <c r="F32" i="3"/>
  <c r="C32" i="3"/>
  <c r="E13" i="3"/>
  <c r="E12" i="3"/>
  <c r="E11" i="3"/>
  <c r="E10" i="3"/>
  <c r="H9" i="3"/>
  <c r="E9" i="3"/>
  <c r="B9" i="3"/>
  <c r="H8" i="3"/>
  <c r="E8" i="3"/>
  <c r="B8" i="3"/>
  <c r="H7" i="3"/>
  <c r="E7" i="3"/>
  <c r="B7" i="3"/>
  <c r="H6" i="3"/>
  <c r="E6" i="3"/>
  <c r="B6" i="3"/>
  <c r="H5" i="3"/>
  <c r="E5" i="3"/>
  <c r="B5" i="3"/>
  <c r="I3" i="3"/>
  <c r="F3" i="3"/>
  <c r="C3" i="3"/>
  <c r="G800" i="2"/>
  <c r="AO797" i="2"/>
  <c r="AK797" i="2"/>
  <c r="AG797" i="2"/>
  <c r="AC796" i="2"/>
  <c r="BV795" i="2"/>
  <c r="BU795" i="2"/>
  <c r="M795" i="2"/>
  <c r="BV794" i="2"/>
  <c r="BU794" i="2"/>
  <c r="O794" i="2"/>
  <c r="M794" i="2"/>
  <c r="Q794" i="2" s="1"/>
  <c r="C790" i="2" s="1"/>
  <c r="BV793" i="2"/>
  <c r="BU793" i="2"/>
  <c r="AC793" i="2"/>
  <c r="BV792" i="2"/>
  <c r="BU792" i="2"/>
  <c r="AC792" i="2"/>
  <c r="BV791" i="2"/>
  <c r="BU791" i="2"/>
  <c r="AC791" i="2"/>
  <c r="BV790" i="2"/>
  <c r="BU790" i="2"/>
  <c r="AC790" i="2"/>
  <c r="BV789" i="2"/>
  <c r="BU789" i="2"/>
  <c r="S789" i="2"/>
  <c r="B789" i="2"/>
  <c r="BV788" i="2"/>
  <c r="BU788" i="2"/>
  <c r="B788" i="2"/>
  <c r="BV787" i="2"/>
  <c r="BU787" i="2"/>
  <c r="BI784" i="2"/>
  <c r="BH784" i="2"/>
  <c r="BE784" i="2"/>
  <c r="BA784" i="2"/>
  <c r="AY784" i="2"/>
  <c r="AX784" i="2"/>
  <c r="AU784" i="2"/>
  <c r="AT784" i="2"/>
  <c r="AO784" i="2"/>
  <c r="M792" i="2" s="1"/>
  <c r="AL784" i="2"/>
  <c r="AK784" i="2"/>
  <c r="AJ784" i="2"/>
  <c r="AG784" i="2"/>
  <c r="M790" i="2" s="1"/>
  <c r="AF784" i="2"/>
  <c r="M39" i="3" s="1"/>
  <c r="AE784" i="2"/>
  <c r="M38" i="3" s="1"/>
  <c r="AD784" i="2"/>
  <c r="M37" i="3" s="1"/>
  <c r="AC784" i="2"/>
  <c r="M36" i="3" s="1"/>
  <c r="AB784" i="2"/>
  <c r="M35" i="3" s="1"/>
  <c r="AA784" i="2"/>
  <c r="M34" i="3" s="1"/>
  <c r="B784" i="2"/>
  <c r="BP780" i="2"/>
  <c r="X780" i="2"/>
  <c r="W780" i="2"/>
  <c r="BR780" i="2" s="1"/>
  <c r="T780" i="2"/>
  <c r="S780" i="2"/>
  <c r="V780" i="2" s="1"/>
  <c r="BT780" i="2" s="1"/>
  <c r="R780" i="2"/>
  <c r="Q780" i="2"/>
  <c r="BO780" i="2" s="1"/>
  <c r="P780" i="2"/>
  <c r="Y780" i="2" s="1"/>
  <c r="O780" i="2"/>
  <c r="BN780" i="2" s="1"/>
  <c r="I780" i="2"/>
  <c r="G780" i="2"/>
  <c r="J780" i="2" s="1"/>
  <c r="BO779" i="2"/>
  <c r="Z779" i="2"/>
  <c r="Y779" i="2"/>
  <c r="X779" i="2"/>
  <c r="V779" i="2"/>
  <c r="BT779" i="2" s="1"/>
  <c r="T779" i="2"/>
  <c r="S779" i="2"/>
  <c r="R779" i="2"/>
  <c r="Q779" i="2"/>
  <c r="W779" i="2" s="1"/>
  <c r="BR779" i="2" s="1"/>
  <c r="P779" i="2"/>
  <c r="O779" i="2"/>
  <c r="BN779" i="2" s="1"/>
  <c r="BP779" i="2" s="1"/>
  <c r="G779" i="2"/>
  <c r="BT778" i="2"/>
  <c r="BO778" i="2"/>
  <c r="BN778" i="2"/>
  <c r="BP778" i="2" s="1"/>
  <c r="Z778" i="2"/>
  <c r="V778" i="2"/>
  <c r="T778" i="2"/>
  <c r="S778" i="2"/>
  <c r="R778" i="2"/>
  <c r="Q778" i="2"/>
  <c r="W778" i="2" s="1"/>
  <c r="BR778" i="2" s="1"/>
  <c r="P778" i="2"/>
  <c r="Y778" i="2" s="1"/>
  <c r="O778" i="2"/>
  <c r="X778" i="2" s="1"/>
  <c r="J778" i="2"/>
  <c r="I778" i="2"/>
  <c r="G778" i="2"/>
  <c r="BT777" i="2"/>
  <c r="BN777" i="2"/>
  <c r="V777" i="2"/>
  <c r="T777" i="2"/>
  <c r="S777" i="2"/>
  <c r="R777" i="2"/>
  <c r="Q777" i="2"/>
  <c r="Z777" i="2" s="1"/>
  <c r="P777" i="2"/>
  <c r="Y777" i="2" s="1"/>
  <c r="O777" i="2"/>
  <c r="X777" i="2" s="1"/>
  <c r="J777" i="2"/>
  <c r="I777" i="2"/>
  <c r="G777" i="2"/>
  <c r="V776" i="2"/>
  <c r="BT776" i="2" s="1"/>
  <c r="BT773" i="2" s="1"/>
  <c r="BT817" i="2" s="1"/>
  <c r="T776" i="2"/>
  <c r="S776" i="2"/>
  <c r="R776" i="2"/>
  <c r="Q776" i="2"/>
  <c r="W776" i="2" s="1"/>
  <c r="BR776" i="2" s="1"/>
  <c r="P776" i="2"/>
  <c r="Y776" i="2" s="1"/>
  <c r="O776" i="2"/>
  <c r="G776" i="2"/>
  <c r="X775" i="2"/>
  <c r="V775" i="2"/>
  <c r="BT775" i="2" s="1"/>
  <c r="T775" i="2"/>
  <c r="S775" i="2"/>
  <c r="R775" i="2"/>
  <c r="Q775" i="2"/>
  <c r="P775" i="2"/>
  <c r="O775" i="2"/>
  <c r="BN775" i="2" s="1"/>
  <c r="I775" i="2"/>
  <c r="G775" i="2"/>
  <c r="J775" i="2" s="1"/>
  <c r="AM774" i="2"/>
  <c r="AM773" i="2" s="1"/>
  <c r="AM817" i="2" s="1"/>
  <c r="Z774" i="2"/>
  <c r="Y774" i="2"/>
  <c r="X774" i="2"/>
  <c r="T774" i="2"/>
  <c r="S774" i="2"/>
  <c r="V774" i="2" s="1"/>
  <c r="BT774" i="2" s="1"/>
  <c r="R774" i="2"/>
  <c r="R773" i="2" s="1"/>
  <c r="R817" i="2" s="1"/>
  <c r="Q774" i="2"/>
  <c r="BO774" i="2" s="1"/>
  <c r="P774" i="2"/>
  <c r="O774" i="2"/>
  <c r="G774" i="2"/>
  <c r="BM773" i="2"/>
  <c r="BM817" i="2" s="1"/>
  <c r="BL773" i="2"/>
  <c r="BL817" i="2" s="1"/>
  <c r="BK773" i="2"/>
  <c r="BK817" i="2" s="1"/>
  <c r="BJ773" i="2"/>
  <c r="BJ817" i="2" s="1"/>
  <c r="BI773" i="2"/>
  <c r="BI817" i="2" s="1"/>
  <c r="BH773" i="2"/>
  <c r="BH817" i="2" s="1"/>
  <c r="BG773" i="2"/>
  <c r="BG817" i="2" s="1"/>
  <c r="BF773" i="2"/>
  <c r="BF817" i="2" s="1"/>
  <c r="BE773" i="2"/>
  <c r="BE817" i="2" s="1"/>
  <c r="BD773" i="2"/>
  <c r="BD817" i="2" s="1"/>
  <c r="BC773" i="2"/>
  <c r="BC817" i="2" s="1"/>
  <c r="BB773" i="2"/>
  <c r="BB817" i="2" s="1"/>
  <c r="BA773" i="2"/>
  <c r="BA817" i="2" s="1"/>
  <c r="AZ773" i="2"/>
  <c r="AZ817" i="2" s="1"/>
  <c r="AY773" i="2"/>
  <c r="AY817" i="2" s="1"/>
  <c r="AX773" i="2"/>
  <c r="AX817" i="2" s="1"/>
  <c r="AW773" i="2"/>
  <c r="AW817" i="2" s="1"/>
  <c r="AV773" i="2"/>
  <c r="AV817" i="2" s="1"/>
  <c r="AU773" i="2"/>
  <c r="AU817" i="2" s="1"/>
  <c r="AT773" i="2"/>
  <c r="AT817" i="2" s="1"/>
  <c r="AS773" i="2"/>
  <c r="AS817" i="2" s="1"/>
  <c r="AR773" i="2"/>
  <c r="AR817" i="2" s="1"/>
  <c r="AQ773" i="2"/>
  <c r="AQ817" i="2" s="1"/>
  <c r="AP773" i="2"/>
  <c r="AP817" i="2" s="1"/>
  <c r="AO773" i="2"/>
  <c r="AO817" i="2" s="1"/>
  <c r="AN773" i="2"/>
  <c r="AN817" i="2" s="1"/>
  <c r="AL773" i="2"/>
  <c r="AL817" i="2" s="1"/>
  <c r="AK773" i="2"/>
  <c r="AK817" i="2" s="1"/>
  <c r="AJ773" i="2"/>
  <c r="AJ817" i="2" s="1"/>
  <c r="AI773" i="2"/>
  <c r="AI817" i="2" s="1"/>
  <c r="AH773" i="2"/>
  <c r="AH817" i="2" s="1"/>
  <c r="AG773" i="2"/>
  <c r="AG817" i="2" s="1"/>
  <c r="AF773" i="2"/>
  <c r="AF817" i="2" s="1"/>
  <c r="AE773" i="2"/>
  <c r="AE817" i="2" s="1"/>
  <c r="AD773" i="2"/>
  <c r="AD817" i="2" s="1"/>
  <c r="AC773" i="2"/>
  <c r="AC817" i="2" s="1"/>
  <c r="AB773" i="2"/>
  <c r="AB817" i="2" s="1"/>
  <c r="AA773" i="2"/>
  <c r="AA817" i="2" s="1"/>
  <c r="V773" i="2"/>
  <c r="V817" i="2" s="1"/>
  <c r="S773" i="2"/>
  <c r="S817" i="2" s="1"/>
  <c r="N773" i="2"/>
  <c r="N817" i="2" s="1"/>
  <c r="M773" i="2"/>
  <c r="M817" i="2" s="1"/>
  <c r="L773" i="2"/>
  <c r="L817" i="2" s="1"/>
  <c r="K773" i="2"/>
  <c r="H773" i="2"/>
  <c r="H817" i="2" s="1"/>
  <c r="F773" i="2"/>
  <c r="F817" i="2" s="1"/>
  <c r="E773" i="2"/>
  <c r="E817" i="2" s="1"/>
  <c r="Z771" i="2"/>
  <c r="Y771" i="2"/>
  <c r="X771" i="2"/>
  <c r="G771" i="2"/>
  <c r="J771" i="2" s="1"/>
  <c r="F771" i="2"/>
  <c r="BR770" i="2"/>
  <c r="BO770" i="2"/>
  <c r="Z770" i="2"/>
  <c r="Y770" i="2"/>
  <c r="T770" i="2"/>
  <c r="S770" i="2"/>
  <c r="V770" i="2" s="1"/>
  <c r="BT770" i="2" s="1"/>
  <c r="R770" i="2"/>
  <c r="Q770" i="2"/>
  <c r="W770" i="2" s="1"/>
  <c r="P770" i="2"/>
  <c r="O770" i="2"/>
  <c r="J770" i="2"/>
  <c r="I770" i="2"/>
  <c r="G770" i="2"/>
  <c r="BT769" i="2"/>
  <c r="BO769" i="2"/>
  <c r="V769" i="2"/>
  <c r="T769" i="2"/>
  <c r="S769" i="2"/>
  <c r="R769" i="2"/>
  <c r="Q769" i="2"/>
  <c r="Z769" i="2" s="1"/>
  <c r="P769" i="2"/>
  <c r="Y769" i="2" s="1"/>
  <c r="O769" i="2"/>
  <c r="K769" i="2"/>
  <c r="G769" i="2"/>
  <c r="X768" i="2"/>
  <c r="V768" i="2"/>
  <c r="BT768" i="2" s="1"/>
  <c r="T768" i="2"/>
  <c r="S768" i="2"/>
  <c r="R768" i="2"/>
  <c r="Q768" i="2"/>
  <c r="P768" i="2"/>
  <c r="Y768" i="2" s="1"/>
  <c r="O768" i="2"/>
  <c r="BN768" i="2" s="1"/>
  <c r="K768" i="2"/>
  <c r="AC795" i="2" s="1"/>
  <c r="I768" i="2"/>
  <c r="G768" i="2"/>
  <c r="J768" i="2" s="1"/>
  <c r="BT767" i="2"/>
  <c r="BN767" i="2"/>
  <c r="Z767" i="2"/>
  <c r="Y767" i="2"/>
  <c r="X767" i="2"/>
  <c r="T767" i="2"/>
  <c r="S767" i="2"/>
  <c r="V767" i="2" s="1"/>
  <c r="R767" i="2"/>
  <c r="Q767" i="2"/>
  <c r="BO767" i="2" s="1"/>
  <c r="P767" i="2"/>
  <c r="O767" i="2"/>
  <c r="K767" i="2"/>
  <c r="J767" i="2"/>
  <c r="I767" i="2"/>
  <c r="G767" i="2"/>
  <c r="BO766" i="2"/>
  <c r="V766" i="2"/>
  <c r="BT766" i="2" s="1"/>
  <c r="T766" i="2"/>
  <c r="S766" i="2"/>
  <c r="R766" i="2"/>
  <c r="Q766" i="2"/>
  <c r="Z766" i="2" s="1"/>
  <c r="P766" i="2"/>
  <c r="Y766" i="2" s="1"/>
  <c r="O766" i="2"/>
  <c r="J766" i="2"/>
  <c r="I766" i="2"/>
  <c r="G766" i="2"/>
  <c r="BT765" i="2"/>
  <c r="BO765" i="2"/>
  <c r="BN765" i="2"/>
  <c r="X765" i="2"/>
  <c r="W765" i="2"/>
  <c r="BR765" i="2" s="1"/>
  <c r="V765" i="2"/>
  <c r="T765" i="2"/>
  <c r="S765" i="2"/>
  <c r="R765" i="2"/>
  <c r="Q765" i="2"/>
  <c r="Z765" i="2" s="1"/>
  <c r="P765" i="2"/>
  <c r="Y765" i="2" s="1"/>
  <c r="O765" i="2"/>
  <c r="U765" i="2" s="1"/>
  <c r="BQ765" i="2" s="1"/>
  <c r="G765" i="2"/>
  <c r="Y764" i="2"/>
  <c r="X764" i="2"/>
  <c r="T764" i="2"/>
  <c r="S764" i="2"/>
  <c r="V764" i="2" s="1"/>
  <c r="BT764" i="2" s="1"/>
  <c r="R764" i="2"/>
  <c r="R762" i="2" s="1"/>
  <c r="Q764" i="2"/>
  <c r="P764" i="2"/>
  <c r="O764" i="2"/>
  <c r="I764" i="2"/>
  <c r="G764" i="2"/>
  <c r="J764" i="2" s="1"/>
  <c r="X763" i="2"/>
  <c r="V763" i="2"/>
  <c r="T763" i="2"/>
  <c r="T762" i="2" s="1"/>
  <c r="S763" i="2"/>
  <c r="R763" i="2"/>
  <c r="Q763" i="2"/>
  <c r="Z763" i="2" s="1"/>
  <c r="P763" i="2"/>
  <c r="Y763" i="2" s="1"/>
  <c r="O763" i="2"/>
  <c r="BN763" i="2" s="1"/>
  <c r="J763" i="2"/>
  <c r="I763" i="2"/>
  <c r="G763" i="2"/>
  <c r="BM762" i="2"/>
  <c r="BL762" i="2"/>
  <c r="BK762" i="2"/>
  <c r="BJ762" i="2"/>
  <c r="BI762" i="2"/>
  <c r="BH762" i="2"/>
  <c r="BG762" i="2"/>
  <c r="BF762" i="2"/>
  <c r="BE762" i="2"/>
  <c r="BD762" i="2"/>
  <c r="BC762" i="2"/>
  <c r="BB762" i="2"/>
  <c r="BA762" i="2"/>
  <c r="AZ762" i="2"/>
  <c r="AY762" i="2"/>
  <c r="AX762" i="2"/>
  <c r="AW762" i="2"/>
  <c r="AV762" i="2"/>
  <c r="AU762" i="2"/>
  <c r="AT762" i="2"/>
  <c r="AS762" i="2"/>
  <c r="AR762" i="2"/>
  <c r="AQ762" i="2"/>
  <c r="AP762" i="2"/>
  <c r="AO762" i="2"/>
  <c r="AN762" i="2"/>
  <c r="AM762" i="2"/>
  <c r="AL762" i="2"/>
  <c r="AK762" i="2"/>
  <c r="AJ762" i="2"/>
  <c r="AI762" i="2"/>
  <c r="AH762" i="2"/>
  <c r="AG762" i="2"/>
  <c r="AF762" i="2"/>
  <c r="AE762" i="2"/>
  <c r="AD762" i="2"/>
  <c r="AC762" i="2"/>
  <c r="AB762" i="2"/>
  <c r="AA762" i="2"/>
  <c r="X762" i="2"/>
  <c r="P762" i="2"/>
  <c r="Y762" i="2" s="1"/>
  <c r="O762" i="2"/>
  <c r="I38" i="3" s="1"/>
  <c r="N762" i="2"/>
  <c r="M762" i="2"/>
  <c r="L762" i="2"/>
  <c r="H762" i="2"/>
  <c r="F762" i="2"/>
  <c r="E762" i="2"/>
  <c r="BO760" i="2"/>
  <c r="BO759" i="2" s="1"/>
  <c r="Z760" i="2"/>
  <c r="V760" i="2"/>
  <c r="T760" i="2"/>
  <c r="S760" i="2"/>
  <c r="S759" i="2" s="1"/>
  <c r="R760" i="2"/>
  <c r="Q760" i="2"/>
  <c r="W760" i="2" s="1"/>
  <c r="BR760" i="2" s="1"/>
  <c r="BR759" i="2" s="1"/>
  <c r="P760" i="2"/>
  <c r="P759" i="2" s="1"/>
  <c r="Y759" i="2" s="1"/>
  <c r="O760" i="2"/>
  <c r="J760" i="2"/>
  <c r="I760" i="2"/>
  <c r="G760" i="2"/>
  <c r="BM759" i="2"/>
  <c r="BL759" i="2"/>
  <c r="BK759" i="2"/>
  <c r="BJ759" i="2"/>
  <c r="BI759" i="2"/>
  <c r="BH759" i="2"/>
  <c r="BG759" i="2"/>
  <c r="BF759" i="2"/>
  <c r="BE759" i="2"/>
  <c r="BD759" i="2"/>
  <c r="BC759" i="2"/>
  <c r="BB759" i="2"/>
  <c r="BA759" i="2"/>
  <c r="AZ759" i="2"/>
  <c r="AY759" i="2"/>
  <c r="AX759" i="2"/>
  <c r="AW759" i="2"/>
  <c r="AV759" i="2"/>
  <c r="AU759" i="2"/>
  <c r="AT759" i="2"/>
  <c r="AS759" i="2"/>
  <c r="AR759" i="2"/>
  <c r="AQ759" i="2"/>
  <c r="AP759" i="2"/>
  <c r="AO759" i="2"/>
  <c r="AN759" i="2"/>
  <c r="AM759" i="2"/>
  <c r="AL759" i="2"/>
  <c r="AK759" i="2"/>
  <c r="AJ759" i="2"/>
  <c r="AI759" i="2"/>
  <c r="AH759" i="2"/>
  <c r="AG759" i="2"/>
  <c r="AF759" i="2"/>
  <c r="AE759" i="2"/>
  <c r="AD759" i="2"/>
  <c r="AC759" i="2"/>
  <c r="AB759" i="2"/>
  <c r="AA759" i="2"/>
  <c r="Z759" i="2"/>
  <c r="W759" i="2"/>
  <c r="T759" i="2"/>
  <c r="R759" i="2"/>
  <c r="Q759" i="2"/>
  <c r="N759" i="2"/>
  <c r="M759" i="2"/>
  <c r="L759" i="2"/>
  <c r="K759" i="2"/>
  <c r="H759" i="2"/>
  <c r="G759" i="2"/>
  <c r="F759" i="2"/>
  <c r="E759" i="2"/>
  <c r="BR758" i="2"/>
  <c r="BR757" i="2" s="1"/>
  <c r="BO758" i="2"/>
  <c r="BO757" i="2" s="1"/>
  <c r="BN758" i="2"/>
  <c r="Z758" i="2"/>
  <c r="T758" i="2"/>
  <c r="T757" i="2" s="1"/>
  <c r="S758" i="2"/>
  <c r="V758" i="2" s="1"/>
  <c r="R758" i="2"/>
  <c r="Q758" i="2"/>
  <c r="W758" i="2" s="1"/>
  <c r="P758" i="2"/>
  <c r="O758" i="2"/>
  <c r="J758" i="2"/>
  <c r="I758" i="2"/>
  <c r="G758" i="2"/>
  <c r="BM757" i="2"/>
  <c r="BL757" i="2"/>
  <c r="BK757" i="2"/>
  <c r="BJ757" i="2"/>
  <c r="BJ744" i="2" s="1"/>
  <c r="BJ711" i="2" s="1"/>
  <c r="BI757" i="2"/>
  <c r="BH757" i="2"/>
  <c r="BG757" i="2"/>
  <c r="BF757" i="2"/>
  <c r="BE757" i="2"/>
  <c r="BD757" i="2"/>
  <c r="BD744" i="2" s="1"/>
  <c r="BC757" i="2"/>
  <c r="BB757" i="2"/>
  <c r="BA757" i="2"/>
  <c r="AZ757" i="2"/>
  <c r="AY757" i="2"/>
  <c r="AX757" i="2"/>
  <c r="AX744" i="2" s="1"/>
  <c r="AW757" i="2"/>
  <c r="AV757" i="2"/>
  <c r="AU757" i="2"/>
  <c r="AT757" i="2"/>
  <c r="AS757" i="2"/>
  <c r="AR757" i="2"/>
  <c r="AR744" i="2" s="1"/>
  <c r="AQ757" i="2"/>
  <c r="AP757" i="2"/>
  <c r="AO757" i="2"/>
  <c r="AN757" i="2"/>
  <c r="AM757" i="2"/>
  <c r="AL757" i="2"/>
  <c r="AL744" i="2" s="1"/>
  <c r="AL711" i="2" s="1"/>
  <c r="AK757" i="2"/>
  <c r="AJ757" i="2"/>
  <c r="AI757" i="2"/>
  <c r="AH757" i="2"/>
  <c r="AG757" i="2"/>
  <c r="AF757" i="2"/>
  <c r="AF744" i="2" s="1"/>
  <c r="AE757" i="2"/>
  <c r="AD757" i="2"/>
  <c r="AC757" i="2"/>
  <c r="AB757" i="2"/>
  <c r="AA757" i="2"/>
  <c r="Z757" i="2"/>
  <c r="W757" i="2"/>
  <c r="R757" i="2"/>
  <c r="Q757" i="2"/>
  <c r="N757" i="2"/>
  <c r="M757" i="2"/>
  <c r="M744" i="2" s="1"/>
  <c r="L757" i="2"/>
  <c r="K757" i="2"/>
  <c r="K744" i="2" s="1"/>
  <c r="H757" i="2"/>
  <c r="G757" i="2"/>
  <c r="F757" i="2"/>
  <c r="E757" i="2"/>
  <c r="E744" i="2" s="1"/>
  <c r="BO756" i="2"/>
  <c r="BN756" i="2"/>
  <c r="BP756" i="2" s="1"/>
  <c r="Z756" i="2"/>
  <c r="T756" i="2"/>
  <c r="S756" i="2"/>
  <c r="V756" i="2" s="1"/>
  <c r="BT756" i="2" s="1"/>
  <c r="R756" i="2"/>
  <c r="Q756" i="2"/>
  <c r="W756" i="2" s="1"/>
  <c r="BR756" i="2" s="1"/>
  <c r="P756" i="2"/>
  <c r="Y756" i="2" s="1"/>
  <c r="O756" i="2"/>
  <c r="X756" i="2" s="1"/>
  <c r="J756" i="2"/>
  <c r="I756" i="2"/>
  <c r="G756" i="2"/>
  <c r="BO755" i="2"/>
  <c r="Z755" i="2"/>
  <c r="V755" i="2"/>
  <c r="BT755" i="2" s="1"/>
  <c r="T755" i="2"/>
  <c r="S755" i="2"/>
  <c r="R755" i="2"/>
  <c r="Q755" i="2"/>
  <c r="W755" i="2" s="1"/>
  <c r="BR755" i="2" s="1"/>
  <c r="P755" i="2"/>
  <c r="Y755" i="2" s="1"/>
  <c r="O755" i="2"/>
  <c r="J755" i="2"/>
  <c r="I755" i="2"/>
  <c r="G755" i="2"/>
  <c r="V754" i="2"/>
  <c r="BT754" i="2" s="1"/>
  <c r="T754" i="2"/>
  <c r="S754" i="2"/>
  <c r="R754" i="2"/>
  <c r="Q754" i="2"/>
  <c r="Z754" i="2" s="1"/>
  <c r="P754" i="2"/>
  <c r="Y754" i="2" s="1"/>
  <c r="O754" i="2"/>
  <c r="G754" i="2"/>
  <c r="Y753" i="2"/>
  <c r="X753" i="2"/>
  <c r="V753" i="2"/>
  <c r="BT753" i="2" s="1"/>
  <c r="T753" i="2"/>
  <c r="S753" i="2"/>
  <c r="R753" i="2"/>
  <c r="Q753" i="2"/>
  <c r="W753" i="2" s="1"/>
  <c r="BR753" i="2" s="1"/>
  <c r="P753" i="2"/>
  <c r="O753" i="2"/>
  <c r="BN753" i="2" s="1"/>
  <c r="G753" i="2"/>
  <c r="J753" i="2" s="1"/>
  <c r="Z752" i="2"/>
  <c r="Y752" i="2"/>
  <c r="X752" i="2"/>
  <c r="W752" i="2"/>
  <c r="BR752" i="2" s="1"/>
  <c r="T752" i="2"/>
  <c r="S752" i="2"/>
  <c r="V752" i="2" s="1"/>
  <c r="BT752" i="2" s="1"/>
  <c r="R752" i="2"/>
  <c r="Q752" i="2"/>
  <c r="BO752" i="2" s="1"/>
  <c r="P752" i="2"/>
  <c r="O752" i="2"/>
  <c r="BN752" i="2" s="1"/>
  <c r="BP752" i="2" s="1"/>
  <c r="G752" i="2"/>
  <c r="BT751" i="2"/>
  <c r="BN751" i="2"/>
  <c r="Z751" i="2"/>
  <c r="Y751" i="2"/>
  <c r="X751" i="2"/>
  <c r="T751" i="2"/>
  <c r="S751" i="2"/>
  <c r="V751" i="2" s="1"/>
  <c r="R751" i="2"/>
  <c r="Q751" i="2"/>
  <c r="BO751" i="2" s="1"/>
  <c r="P751" i="2"/>
  <c r="O751" i="2"/>
  <c r="U751" i="2" s="1"/>
  <c r="BQ751" i="2" s="1"/>
  <c r="I751" i="2"/>
  <c r="G751" i="2"/>
  <c r="J751" i="2" s="1"/>
  <c r="BO750" i="2"/>
  <c r="BN750" i="2"/>
  <c r="Z750" i="2"/>
  <c r="Y750" i="2"/>
  <c r="T750" i="2"/>
  <c r="S750" i="2"/>
  <c r="V750" i="2" s="1"/>
  <c r="BT750" i="2" s="1"/>
  <c r="R750" i="2"/>
  <c r="Q750" i="2"/>
  <c r="W750" i="2" s="1"/>
  <c r="BR750" i="2" s="1"/>
  <c r="P750" i="2"/>
  <c r="O750" i="2"/>
  <c r="X750" i="2" s="1"/>
  <c r="J750" i="2"/>
  <c r="I750" i="2"/>
  <c r="G750" i="2"/>
  <c r="BO749" i="2"/>
  <c r="BN749" i="2"/>
  <c r="V749" i="2"/>
  <c r="BT749" i="2" s="1"/>
  <c r="T749" i="2"/>
  <c r="S749" i="2"/>
  <c r="R749" i="2"/>
  <c r="Q749" i="2"/>
  <c r="W749" i="2" s="1"/>
  <c r="BR749" i="2" s="1"/>
  <c r="P749" i="2"/>
  <c r="Y749" i="2" s="1"/>
  <c r="O749" i="2"/>
  <c r="X749" i="2" s="1"/>
  <c r="J749" i="2"/>
  <c r="I749" i="2"/>
  <c r="G749" i="2"/>
  <c r="BQ748" i="2"/>
  <c r="BS748" i="2" s="1"/>
  <c r="BV748" i="2" s="1"/>
  <c r="BN748" i="2"/>
  <c r="X748" i="2"/>
  <c r="W748" i="2"/>
  <c r="BR748" i="2" s="1"/>
  <c r="V748" i="2"/>
  <c r="BT748" i="2" s="1"/>
  <c r="T748" i="2"/>
  <c r="S748" i="2"/>
  <c r="R748" i="2"/>
  <c r="Q748" i="2"/>
  <c r="P748" i="2"/>
  <c r="Y748" i="2" s="1"/>
  <c r="O748" i="2"/>
  <c r="U748" i="2" s="1"/>
  <c r="G748" i="2"/>
  <c r="BO747" i="2"/>
  <c r="BP747" i="2" s="1"/>
  <c r="BU747" i="2" s="1"/>
  <c r="X747" i="2"/>
  <c r="T747" i="2"/>
  <c r="S747" i="2"/>
  <c r="V747" i="2" s="1"/>
  <c r="BT747" i="2" s="1"/>
  <c r="R747" i="2"/>
  <c r="Q747" i="2"/>
  <c r="Z747" i="2" s="1"/>
  <c r="P747" i="2"/>
  <c r="O747" i="2"/>
  <c r="BN747" i="2" s="1"/>
  <c r="G747" i="2"/>
  <c r="Y746" i="2"/>
  <c r="X746" i="2"/>
  <c r="T746" i="2"/>
  <c r="S746" i="2"/>
  <c r="R746" i="2"/>
  <c r="Q746" i="2"/>
  <c r="P746" i="2"/>
  <c r="O746" i="2"/>
  <c r="BN746" i="2" s="1"/>
  <c r="I746" i="2"/>
  <c r="G746" i="2"/>
  <c r="BM745" i="2"/>
  <c r="BL745" i="2"/>
  <c r="BL744" i="2" s="1"/>
  <c r="BK745" i="2"/>
  <c r="BJ745" i="2"/>
  <c r="BI745" i="2"/>
  <c r="BH745" i="2"/>
  <c r="BH744" i="2" s="1"/>
  <c r="BG745" i="2"/>
  <c r="BF745" i="2"/>
  <c r="BE745" i="2"/>
  <c r="BD745" i="2"/>
  <c r="BC745" i="2"/>
  <c r="BB745" i="2"/>
  <c r="BB744" i="2" s="1"/>
  <c r="BA745" i="2"/>
  <c r="AZ745" i="2"/>
  <c r="AY745" i="2"/>
  <c r="AX745" i="2"/>
  <c r="AW745" i="2"/>
  <c r="AV745" i="2"/>
  <c r="AV744" i="2" s="1"/>
  <c r="AU745" i="2"/>
  <c r="AT745" i="2"/>
  <c r="AT744" i="2" s="1"/>
  <c r="AS745" i="2"/>
  <c r="AR745" i="2"/>
  <c r="AQ745" i="2"/>
  <c r="AP745" i="2"/>
  <c r="AP744" i="2" s="1"/>
  <c r="AO745" i="2"/>
  <c r="AN745" i="2"/>
  <c r="AM745" i="2"/>
  <c r="AL745" i="2"/>
  <c r="AK745" i="2"/>
  <c r="AJ745" i="2"/>
  <c r="AJ744" i="2" s="1"/>
  <c r="AI745" i="2"/>
  <c r="AH745" i="2"/>
  <c r="AG745" i="2"/>
  <c r="AF745" i="2"/>
  <c r="AE745" i="2"/>
  <c r="AD745" i="2"/>
  <c r="AD744" i="2" s="1"/>
  <c r="AC745" i="2"/>
  <c r="AB745" i="2"/>
  <c r="AB744" i="2" s="1"/>
  <c r="AA745" i="2"/>
  <c r="N745" i="2"/>
  <c r="M745" i="2"/>
  <c r="L745" i="2"/>
  <c r="L744" i="2" s="1"/>
  <c r="K745" i="2"/>
  <c r="H745" i="2"/>
  <c r="F745" i="2"/>
  <c r="F744" i="2" s="1"/>
  <c r="E745" i="2"/>
  <c r="BK744" i="2"/>
  <c r="BF744" i="2"/>
  <c r="BE744" i="2"/>
  <c r="AZ744" i="2"/>
  <c r="AY744" i="2"/>
  <c r="AS744" i="2"/>
  <c r="AS711" i="2" s="1"/>
  <c r="AN744" i="2"/>
  <c r="AM744" i="2"/>
  <c r="AH744" i="2"/>
  <c r="AH711" i="2" s="1"/>
  <c r="AG744" i="2"/>
  <c r="AA744" i="2"/>
  <c r="N744" i="2"/>
  <c r="H744" i="2"/>
  <c r="BR743" i="2"/>
  <c r="BO743" i="2"/>
  <c r="X743" i="2"/>
  <c r="W743" i="2"/>
  <c r="V743" i="2"/>
  <c r="BT743" i="2" s="1"/>
  <c r="T743" i="2"/>
  <c r="S743" i="2"/>
  <c r="R743" i="2"/>
  <c r="Q743" i="2"/>
  <c r="Z743" i="2" s="1"/>
  <c r="P743" i="2"/>
  <c r="Y743" i="2" s="1"/>
  <c r="O743" i="2"/>
  <c r="BN743" i="2" s="1"/>
  <c r="BP743" i="2" s="1"/>
  <c r="I743" i="2"/>
  <c r="G743" i="2"/>
  <c r="BP742" i="2"/>
  <c r="AB742" i="2"/>
  <c r="Z742" i="2"/>
  <c r="T742" i="2"/>
  <c r="T740" i="2" s="1"/>
  <c r="S742" i="2"/>
  <c r="V742" i="2" s="1"/>
  <c r="BT742" i="2" s="1"/>
  <c r="R742" i="2"/>
  <c r="Q742" i="2"/>
  <c r="BO742" i="2" s="1"/>
  <c r="O742" i="2"/>
  <c r="BN742" i="2" s="1"/>
  <c r="J742" i="2"/>
  <c r="I742" i="2"/>
  <c r="G742" i="2"/>
  <c r="BR741" i="2"/>
  <c r="BO741" i="2"/>
  <c r="Z741" i="2"/>
  <c r="V741" i="2"/>
  <c r="T741" i="2"/>
  <c r="S741" i="2"/>
  <c r="R741" i="2"/>
  <c r="Q741" i="2"/>
  <c r="W741" i="2" s="1"/>
  <c r="P741" i="2"/>
  <c r="O741" i="2"/>
  <c r="J741" i="2"/>
  <c r="I741" i="2"/>
  <c r="G741" i="2"/>
  <c r="BM740" i="2"/>
  <c r="BL740" i="2"/>
  <c r="BK740" i="2"/>
  <c r="BJ740" i="2"/>
  <c r="BI740" i="2"/>
  <c r="BH740" i="2"/>
  <c r="BG740" i="2"/>
  <c r="BF740" i="2"/>
  <c r="BE740" i="2"/>
  <c r="BD740" i="2"/>
  <c r="BC740" i="2"/>
  <c r="BB740" i="2"/>
  <c r="BA740" i="2"/>
  <c r="AZ740" i="2"/>
  <c r="AY740" i="2"/>
  <c r="AX740" i="2"/>
  <c r="AW740" i="2"/>
  <c r="AV740" i="2"/>
  <c r="AU740" i="2"/>
  <c r="AT740" i="2"/>
  <c r="AS740" i="2"/>
  <c r="AR740" i="2"/>
  <c r="AQ740" i="2"/>
  <c r="AP740" i="2"/>
  <c r="AO740" i="2"/>
  <c r="AN740" i="2"/>
  <c r="AM740" i="2"/>
  <c r="AL740" i="2"/>
  <c r="AK740" i="2"/>
  <c r="AJ740" i="2"/>
  <c r="AI740" i="2"/>
  <c r="AH740" i="2"/>
  <c r="AG740" i="2"/>
  <c r="AF740" i="2"/>
  <c r="AE740" i="2"/>
  <c r="AD740" i="2"/>
  <c r="AC740" i="2"/>
  <c r="AA740" i="2"/>
  <c r="S740" i="2"/>
  <c r="R740" i="2"/>
  <c r="N740" i="2"/>
  <c r="M740" i="2"/>
  <c r="L740" i="2"/>
  <c r="K740" i="2"/>
  <c r="H740" i="2"/>
  <c r="F740" i="2"/>
  <c r="E740" i="2"/>
  <c r="BO739" i="2"/>
  <c r="BN739" i="2"/>
  <c r="BP739" i="2" s="1"/>
  <c r="Z739" i="2"/>
  <c r="V739" i="2"/>
  <c r="BT739" i="2" s="1"/>
  <c r="T739" i="2"/>
  <c r="S739" i="2"/>
  <c r="R739" i="2"/>
  <c r="Q739" i="2"/>
  <c r="W739" i="2" s="1"/>
  <c r="BR739" i="2" s="1"/>
  <c r="P739" i="2"/>
  <c r="Y739" i="2" s="1"/>
  <c r="O739" i="2"/>
  <c r="X739" i="2" s="1"/>
  <c r="J739" i="2"/>
  <c r="I739" i="2"/>
  <c r="G739" i="2"/>
  <c r="BP738" i="2"/>
  <c r="BO738" i="2"/>
  <c r="BN738" i="2"/>
  <c r="Z738" i="2"/>
  <c r="V738" i="2"/>
  <c r="BT738" i="2" s="1"/>
  <c r="T738" i="2"/>
  <c r="S738" i="2"/>
  <c r="R738" i="2"/>
  <c r="Q738" i="2"/>
  <c r="W738" i="2" s="1"/>
  <c r="BR738" i="2" s="1"/>
  <c r="P738" i="2"/>
  <c r="Y738" i="2" s="1"/>
  <c r="O738" i="2"/>
  <c r="X738" i="2" s="1"/>
  <c r="J738" i="2"/>
  <c r="I738" i="2"/>
  <c r="G738" i="2"/>
  <c r="X737" i="2"/>
  <c r="V737" i="2"/>
  <c r="BT737" i="2" s="1"/>
  <c r="T737" i="2"/>
  <c r="S737" i="2"/>
  <c r="R737" i="2"/>
  <c r="Q737" i="2"/>
  <c r="P737" i="2"/>
  <c r="Y737" i="2" s="1"/>
  <c r="O737" i="2"/>
  <c r="BN737" i="2" s="1"/>
  <c r="G737" i="2"/>
  <c r="X736" i="2"/>
  <c r="W736" i="2"/>
  <c r="BR736" i="2" s="1"/>
  <c r="V736" i="2"/>
  <c r="BT736" i="2" s="1"/>
  <c r="T736" i="2"/>
  <c r="S736" i="2"/>
  <c r="R736" i="2"/>
  <c r="Q736" i="2"/>
  <c r="P736" i="2"/>
  <c r="Y736" i="2" s="1"/>
  <c r="O736" i="2"/>
  <c r="BN736" i="2" s="1"/>
  <c r="G736" i="2"/>
  <c r="J736" i="2" s="1"/>
  <c r="Z735" i="2"/>
  <c r="Y735" i="2"/>
  <c r="X735" i="2"/>
  <c r="T735" i="2"/>
  <c r="S735" i="2"/>
  <c r="V735" i="2" s="1"/>
  <c r="BT735" i="2" s="1"/>
  <c r="R735" i="2"/>
  <c r="Q735" i="2"/>
  <c r="BO735" i="2" s="1"/>
  <c r="P735" i="2"/>
  <c r="O735" i="2"/>
  <c r="BN735" i="2" s="1"/>
  <c r="G735" i="2"/>
  <c r="BT734" i="2"/>
  <c r="BN734" i="2"/>
  <c r="BP734" i="2" s="1"/>
  <c r="BU734" i="2" s="1"/>
  <c r="Z734" i="2"/>
  <c r="Y734" i="2"/>
  <c r="X734" i="2"/>
  <c r="T734" i="2"/>
  <c r="S734" i="2"/>
  <c r="V734" i="2" s="1"/>
  <c r="R734" i="2"/>
  <c r="Q734" i="2"/>
  <c r="BO734" i="2" s="1"/>
  <c r="P734" i="2"/>
  <c r="O734" i="2"/>
  <c r="U734" i="2" s="1"/>
  <c r="BQ734" i="2" s="1"/>
  <c r="I734" i="2"/>
  <c r="G734" i="2"/>
  <c r="J734" i="2" s="1"/>
  <c r="BU733" i="2"/>
  <c r="BO733" i="2"/>
  <c r="BN733" i="2"/>
  <c r="BP733" i="2" s="1"/>
  <c r="Z733" i="2"/>
  <c r="Y733" i="2"/>
  <c r="T733" i="2"/>
  <c r="S733" i="2"/>
  <c r="V733" i="2" s="1"/>
  <c r="BT733" i="2" s="1"/>
  <c r="R733" i="2"/>
  <c r="Q733" i="2"/>
  <c r="W733" i="2" s="1"/>
  <c r="BR733" i="2" s="1"/>
  <c r="P733" i="2"/>
  <c r="O733" i="2"/>
  <c r="X733" i="2" s="1"/>
  <c r="J733" i="2"/>
  <c r="I733" i="2"/>
  <c r="G733" i="2"/>
  <c r="BO732" i="2"/>
  <c r="AN732" i="2"/>
  <c r="S732" i="2" s="1"/>
  <c r="W732" i="2"/>
  <c r="BR732" i="2" s="1"/>
  <c r="V732" i="2"/>
  <c r="BT732" i="2" s="1"/>
  <c r="T732" i="2"/>
  <c r="R732" i="2"/>
  <c r="Q732" i="2"/>
  <c r="Z732" i="2" s="1"/>
  <c r="P732" i="2"/>
  <c r="Y732" i="2" s="1"/>
  <c r="O732" i="2"/>
  <c r="X732" i="2" s="1"/>
  <c r="G732" i="2"/>
  <c r="BP731" i="2"/>
  <c r="BU731" i="2" s="1"/>
  <c r="BO731" i="2"/>
  <c r="X731" i="2"/>
  <c r="W731" i="2"/>
  <c r="BR731" i="2" s="1"/>
  <c r="T731" i="2"/>
  <c r="S731" i="2"/>
  <c r="R731" i="2"/>
  <c r="Q731" i="2"/>
  <c r="Z731" i="2" s="1"/>
  <c r="P731" i="2"/>
  <c r="Y731" i="2" s="1"/>
  <c r="O731" i="2"/>
  <c r="BN731" i="2" s="1"/>
  <c r="G731" i="2"/>
  <c r="BN730" i="2"/>
  <c r="AE730" i="2"/>
  <c r="S730" i="2" s="1"/>
  <c r="V730" i="2" s="1"/>
  <c r="W730" i="2"/>
  <c r="BR730" i="2" s="1"/>
  <c r="T730" i="2"/>
  <c r="R730" i="2"/>
  <c r="Q730" i="2"/>
  <c r="BO730" i="2" s="1"/>
  <c r="P730" i="2"/>
  <c r="O730" i="2"/>
  <c r="X730" i="2" s="1"/>
  <c r="J730" i="2"/>
  <c r="G730" i="2"/>
  <c r="I730" i="2" s="1"/>
  <c r="BO729" i="2"/>
  <c r="X729" i="2"/>
  <c r="V729" i="2"/>
  <c r="BT729" i="2" s="1"/>
  <c r="T729" i="2"/>
  <c r="S729" i="2"/>
  <c r="R729" i="2"/>
  <c r="Q729" i="2"/>
  <c r="Z729" i="2" s="1"/>
  <c r="P729" i="2"/>
  <c r="Y729" i="2" s="1"/>
  <c r="O729" i="2"/>
  <c r="BN729" i="2" s="1"/>
  <c r="BP729" i="2" s="1"/>
  <c r="G729" i="2"/>
  <c r="BO728" i="2"/>
  <c r="Y728" i="2"/>
  <c r="X728" i="2"/>
  <c r="V728" i="2"/>
  <c r="BT728" i="2" s="1"/>
  <c r="T728" i="2"/>
  <c r="S728" i="2"/>
  <c r="R728" i="2"/>
  <c r="Q728" i="2"/>
  <c r="Z728" i="2" s="1"/>
  <c r="P728" i="2"/>
  <c r="O728" i="2"/>
  <c r="BN728" i="2" s="1"/>
  <c r="BP728" i="2" s="1"/>
  <c r="I728" i="2"/>
  <c r="G728" i="2"/>
  <c r="J728" i="2" s="1"/>
  <c r="Z727" i="2"/>
  <c r="Y727" i="2"/>
  <c r="X727" i="2"/>
  <c r="W727" i="2"/>
  <c r="BR727" i="2" s="1"/>
  <c r="T727" i="2"/>
  <c r="S727" i="2"/>
  <c r="V727" i="2" s="1"/>
  <c r="BT727" i="2" s="1"/>
  <c r="R727" i="2"/>
  <c r="Q727" i="2"/>
  <c r="BO727" i="2" s="1"/>
  <c r="P727" i="2"/>
  <c r="O727" i="2"/>
  <c r="BN727" i="2" s="1"/>
  <c r="BP727" i="2" s="1"/>
  <c r="BU727" i="2" s="1"/>
  <c r="G727" i="2"/>
  <c r="BO726" i="2"/>
  <c r="Z726" i="2"/>
  <c r="Y726" i="2"/>
  <c r="X726" i="2"/>
  <c r="T726" i="2"/>
  <c r="T725" i="2" s="1"/>
  <c r="S726" i="2"/>
  <c r="V726" i="2" s="1"/>
  <c r="BT726" i="2" s="1"/>
  <c r="R726" i="2"/>
  <c r="Q726" i="2"/>
  <c r="W726" i="2" s="1"/>
  <c r="P726" i="2"/>
  <c r="O726" i="2"/>
  <c r="J726" i="2"/>
  <c r="I726" i="2"/>
  <c r="G726" i="2"/>
  <c r="BM725" i="2"/>
  <c r="BL725" i="2"/>
  <c r="BL711" i="2" s="1"/>
  <c r="BK725" i="2"/>
  <c r="BJ725" i="2"/>
  <c r="BI725" i="2"/>
  <c r="BH725" i="2"/>
  <c r="BG725" i="2"/>
  <c r="BF725" i="2"/>
  <c r="BF711" i="2" s="1"/>
  <c r="BE725" i="2"/>
  <c r="BD725" i="2"/>
  <c r="BC725" i="2"/>
  <c r="BB725" i="2"/>
  <c r="BA725" i="2"/>
  <c r="AZ725" i="2"/>
  <c r="AY725" i="2"/>
  <c r="AX725" i="2"/>
  <c r="AW725" i="2"/>
  <c r="AV725" i="2"/>
  <c r="AU725" i="2"/>
  <c r="AT725" i="2"/>
  <c r="AT711" i="2" s="1"/>
  <c r="AS725" i="2"/>
  <c r="AR725" i="2"/>
  <c r="AQ725" i="2"/>
  <c r="AP725" i="2"/>
  <c r="AO725" i="2"/>
  <c r="AN725" i="2"/>
  <c r="AM725" i="2"/>
  <c r="AL725" i="2"/>
  <c r="AK725" i="2"/>
  <c r="AJ725" i="2"/>
  <c r="AI725" i="2"/>
  <c r="AH725" i="2"/>
  <c r="AG725" i="2"/>
  <c r="AF725" i="2"/>
  <c r="AD725" i="2"/>
  <c r="AC725" i="2"/>
  <c r="AB725" i="2"/>
  <c r="AA725" i="2"/>
  <c r="Q725" i="2"/>
  <c r="Z725" i="2" s="1"/>
  <c r="N725" i="2"/>
  <c r="M725" i="2"/>
  <c r="L725" i="2"/>
  <c r="K725" i="2"/>
  <c r="H725" i="2"/>
  <c r="F725" i="2"/>
  <c r="E725" i="2"/>
  <c r="BT724" i="2"/>
  <c r="BO724" i="2"/>
  <c r="Z724" i="2"/>
  <c r="Y724" i="2"/>
  <c r="T724" i="2"/>
  <c r="S724" i="2"/>
  <c r="V724" i="2" s="1"/>
  <c r="R724" i="2"/>
  <c r="R722" i="2" s="1"/>
  <c r="Q724" i="2"/>
  <c r="W724" i="2" s="1"/>
  <c r="BR724" i="2" s="1"/>
  <c r="P724" i="2"/>
  <c r="O724" i="2"/>
  <c r="G724" i="2"/>
  <c r="BN723" i="2"/>
  <c r="V723" i="2"/>
  <c r="V722" i="2" s="1"/>
  <c r="T723" i="2"/>
  <c r="T722" i="2" s="1"/>
  <c r="S723" i="2"/>
  <c r="R723" i="2"/>
  <c r="Q723" i="2"/>
  <c r="W723" i="2" s="1"/>
  <c r="P723" i="2"/>
  <c r="P722" i="2" s="1"/>
  <c r="O723" i="2"/>
  <c r="X723" i="2" s="1"/>
  <c r="J723" i="2"/>
  <c r="I723" i="2"/>
  <c r="G723" i="2"/>
  <c r="BM722" i="2"/>
  <c r="BL722" i="2"/>
  <c r="BK722" i="2"/>
  <c r="BJ722" i="2"/>
  <c r="BI722" i="2"/>
  <c r="BH722" i="2"/>
  <c r="BG722" i="2"/>
  <c r="BF722" i="2"/>
  <c r="BE722" i="2"/>
  <c r="BD722" i="2"/>
  <c r="BC722" i="2"/>
  <c r="BB722" i="2"/>
  <c r="BA722" i="2"/>
  <c r="AZ722" i="2"/>
  <c r="AY722" i="2"/>
  <c r="AX722" i="2"/>
  <c r="AW722" i="2"/>
  <c r="AV722" i="2"/>
  <c r="AU722" i="2"/>
  <c r="AT722" i="2"/>
  <c r="AS722" i="2"/>
  <c r="AR722" i="2"/>
  <c r="AQ722" i="2"/>
  <c r="AP722" i="2"/>
  <c r="AO722" i="2"/>
  <c r="AN722" i="2"/>
  <c r="AM722" i="2"/>
  <c r="AL722" i="2"/>
  <c r="AK722" i="2"/>
  <c r="AJ722" i="2"/>
  <c r="AI722" i="2"/>
  <c r="AH722" i="2"/>
  <c r="AG722" i="2"/>
  <c r="AF722" i="2"/>
  <c r="AE722" i="2"/>
  <c r="AD722" i="2"/>
  <c r="AC722" i="2"/>
  <c r="AB722" i="2"/>
  <c r="AA722" i="2"/>
  <c r="Y722" i="2"/>
  <c r="S722" i="2"/>
  <c r="O722" i="2"/>
  <c r="X722" i="2" s="1"/>
  <c r="N722" i="2"/>
  <c r="M722" i="2"/>
  <c r="L722" i="2"/>
  <c r="K722" i="2"/>
  <c r="H722" i="2"/>
  <c r="F722" i="2"/>
  <c r="E722" i="2"/>
  <c r="BO721" i="2"/>
  <c r="Z721" i="2"/>
  <c r="V721" i="2"/>
  <c r="T721" i="2"/>
  <c r="T720" i="2" s="1"/>
  <c r="S721" i="2"/>
  <c r="S720" i="2" s="1"/>
  <c r="R721" i="2"/>
  <c r="Q721" i="2"/>
  <c r="W721" i="2" s="1"/>
  <c r="P721" i="2"/>
  <c r="O721" i="2"/>
  <c r="X721" i="2" s="1"/>
  <c r="J721" i="2"/>
  <c r="I721" i="2"/>
  <c r="G721" i="2"/>
  <c r="BO720" i="2"/>
  <c r="BM720" i="2"/>
  <c r="BL720" i="2"/>
  <c r="BK720" i="2"/>
  <c r="BJ720" i="2"/>
  <c r="BI720" i="2"/>
  <c r="BH720" i="2"/>
  <c r="BG720" i="2"/>
  <c r="BF720" i="2"/>
  <c r="BE720" i="2"/>
  <c r="BD720" i="2"/>
  <c r="BC720" i="2"/>
  <c r="BB720" i="2"/>
  <c r="BA720" i="2"/>
  <c r="AZ720" i="2"/>
  <c r="AY720" i="2"/>
  <c r="AX720" i="2"/>
  <c r="AW720" i="2"/>
  <c r="AV720" i="2"/>
  <c r="AU720" i="2"/>
  <c r="AT720" i="2"/>
  <c r="AS720" i="2"/>
  <c r="AR720" i="2"/>
  <c r="AQ720" i="2"/>
  <c r="AP720" i="2"/>
  <c r="AO720" i="2"/>
  <c r="AN720" i="2"/>
  <c r="AM720" i="2"/>
  <c r="AL720" i="2"/>
  <c r="AK720" i="2"/>
  <c r="AJ720" i="2"/>
  <c r="AI720" i="2"/>
  <c r="AH720" i="2"/>
  <c r="AG720" i="2"/>
  <c r="AF720" i="2"/>
  <c r="AE720" i="2"/>
  <c r="AD720" i="2"/>
  <c r="AC720" i="2"/>
  <c r="AB720" i="2"/>
  <c r="AA720" i="2"/>
  <c r="R720" i="2"/>
  <c r="Q720" i="2"/>
  <c r="Z720" i="2" s="1"/>
  <c r="N720" i="2"/>
  <c r="N711" i="2" s="1"/>
  <c r="M720" i="2"/>
  <c r="L720" i="2"/>
  <c r="K720" i="2"/>
  <c r="I720" i="2"/>
  <c r="H720" i="2"/>
  <c r="G720" i="2"/>
  <c r="J720" i="2" s="1"/>
  <c r="F720" i="2"/>
  <c r="E720" i="2"/>
  <c r="BO719" i="2"/>
  <c r="BO718" i="2" s="1"/>
  <c r="BN719" i="2"/>
  <c r="Z719" i="2"/>
  <c r="Y719" i="2"/>
  <c r="T719" i="2"/>
  <c r="T718" i="2" s="1"/>
  <c r="S719" i="2"/>
  <c r="S718" i="2" s="1"/>
  <c r="R719" i="2"/>
  <c r="Q719" i="2"/>
  <c r="W719" i="2" s="1"/>
  <c r="BR719" i="2" s="1"/>
  <c r="BR718" i="2" s="1"/>
  <c r="P719" i="2"/>
  <c r="P718" i="2" s="1"/>
  <c r="O719" i="2"/>
  <c r="X719" i="2" s="1"/>
  <c r="J719" i="2"/>
  <c r="I719" i="2"/>
  <c r="G719" i="2"/>
  <c r="BM718" i="2"/>
  <c r="BL718" i="2"/>
  <c r="BK718" i="2"/>
  <c r="BJ718" i="2"/>
  <c r="BI718" i="2"/>
  <c r="BH718" i="2"/>
  <c r="BG718" i="2"/>
  <c r="BF718" i="2"/>
  <c r="BE718" i="2"/>
  <c r="BE711" i="2" s="1"/>
  <c r="BD718" i="2"/>
  <c r="BC718" i="2"/>
  <c r="BB718" i="2"/>
  <c r="BB711" i="2" s="1"/>
  <c r="BA718" i="2"/>
  <c r="AZ718" i="2"/>
  <c r="AY718" i="2"/>
  <c r="AY711" i="2" s="1"/>
  <c r="AX718" i="2"/>
  <c r="AW718" i="2"/>
  <c r="AV718" i="2"/>
  <c r="AV711" i="2" s="1"/>
  <c r="AU718" i="2"/>
  <c r="AT718" i="2"/>
  <c r="AS718" i="2"/>
  <c r="AR718" i="2"/>
  <c r="AQ718" i="2"/>
  <c r="AP718" i="2"/>
  <c r="AO718" i="2"/>
  <c r="AN718" i="2"/>
  <c r="AM718" i="2"/>
  <c r="AM711" i="2" s="1"/>
  <c r="AL718" i="2"/>
  <c r="AK718" i="2"/>
  <c r="AJ718" i="2"/>
  <c r="AI718" i="2"/>
  <c r="AH718" i="2"/>
  <c r="AG718" i="2"/>
  <c r="AF718" i="2"/>
  <c r="AE718" i="2"/>
  <c r="AD718" i="2"/>
  <c r="AD711" i="2" s="1"/>
  <c r="AC718" i="2"/>
  <c r="AB718" i="2"/>
  <c r="AA718" i="2"/>
  <c r="Y718" i="2"/>
  <c r="W718" i="2"/>
  <c r="R718" i="2"/>
  <c r="Q718" i="2"/>
  <c r="Z718" i="2" s="1"/>
  <c r="O718" i="2"/>
  <c r="X718" i="2" s="1"/>
  <c r="N718" i="2"/>
  <c r="M718" i="2"/>
  <c r="L718" i="2"/>
  <c r="K718" i="2"/>
  <c r="I718" i="2"/>
  <c r="H718" i="2"/>
  <c r="H711" i="2" s="1"/>
  <c r="G718" i="2"/>
  <c r="J718" i="2" s="1"/>
  <c r="F718" i="2"/>
  <c r="E718" i="2"/>
  <c r="BN717" i="2"/>
  <c r="Y717" i="2"/>
  <c r="W717" i="2"/>
  <c r="BR717" i="2" s="1"/>
  <c r="T717" i="2"/>
  <c r="S717" i="2"/>
  <c r="V717" i="2" s="1"/>
  <c r="BT717" i="2" s="1"/>
  <c r="R717" i="2"/>
  <c r="Q717" i="2"/>
  <c r="BO717" i="2" s="1"/>
  <c r="P717" i="2"/>
  <c r="O717" i="2"/>
  <c r="X717" i="2" s="1"/>
  <c r="J717" i="2"/>
  <c r="I717" i="2"/>
  <c r="G717" i="2"/>
  <c r="BN716" i="2"/>
  <c r="Z716" i="2"/>
  <c r="X716" i="2"/>
  <c r="V716" i="2"/>
  <c r="BT716" i="2" s="1"/>
  <c r="T716" i="2"/>
  <c r="S716" i="2"/>
  <c r="R716" i="2"/>
  <c r="Q716" i="2"/>
  <c r="BO716" i="2" s="1"/>
  <c r="BP716" i="2" s="1"/>
  <c r="P716" i="2"/>
  <c r="Y716" i="2" s="1"/>
  <c r="O716" i="2"/>
  <c r="U716" i="2" s="1"/>
  <c r="BQ716" i="2" s="1"/>
  <c r="G716" i="2"/>
  <c r="BN715" i="2"/>
  <c r="W715" i="2"/>
  <c r="BR715" i="2" s="1"/>
  <c r="V715" i="2"/>
  <c r="BT715" i="2" s="1"/>
  <c r="T715" i="2"/>
  <c r="S715" i="2"/>
  <c r="R715" i="2"/>
  <c r="Q715" i="2"/>
  <c r="P715" i="2"/>
  <c r="O715" i="2"/>
  <c r="X715" i="2" s="1"/>
  <c r="I715" i="2"/>
  <c r="G715" i="2"/>
  <c r="J715" i="2" s="1"/>
  <c r="BR714" i="2"/>
  <c r="Y714" i="2"/>
  <c r="X714" i="2"/>
  <c r="T714" i="2"/>
  <c r="S714" i="2"/>
  <c r="R714" i="2"/>
  <c r="Q714" i="2"/>
  <c r="W714" i="2" s="1"/>
  <c r="P714" i="2"/>
  <c r="O714" i="2"/>
  <c r="BN714" i="2" s="1"/>
  <c r="J714" i="2"/>
  <c r="I714" i="2"/>
  <c r="G714" i="2"/>
  <c r="Y713" i="2"/>
  <c r="T713" i="2"/>
  <c r="S713" i="2"/>
  <c r="V713" i="2" s="1"/>
  <c r="BT713" i="2" s="1"/>
  <c r="R713" i="2"/>
  <c r="Q713" i="2"/>
  <c r="P713" i="2"/>
  <c r="O713" i="2"/>
  <c r="BN713" i="2" s="1"/>
  <c r="BN712" i="2" s="1"/>
  <c r="G713" i="2"/>
  <c r="BM712" i="2"/>
  <c r="BL712" i="2"/>
  <c r="BK712" i="2"/>
  <c r="BJ712" i="2"/>
  <c r="BI712" i="2"/>
  <c r="BH712" i="2"/>
  <c r="BG712" i="2"/>
  <c r="BF712" i="2"/>
  <c r="BE712" i="2"/>
  <c r="BD712" i="2"/>
  <c r="BC712" i="2"/>
  <c r="BB712" i="2"/>
  <c r="BA712" i="2"/>
  <c r="AZ712" i="2"/>
  <c r="AY712" i="2"/>
  <c r="AX712" i="2"/>
  <c r="AW712" i="2"/>
  <c r="AV712" i="2"/>
  <c r="AU712" i="2"/>
  <c r="AT712" i="2"/>
  <c r="AS712" i="2"/>
  <c r="AR712" i="2"/>
  <c r="AQ712" i="2"/>
  <c r="AP712" i="2"/>
  <c r="AO712" i="2"/>
  <c r="AN712" i="2"/>
  <c r="AM712" i="2"/>
  <c r="AL712" i="2"/>
  <c r="AK712" i="2"/>
  <c r="AJ712" i="2"/>
  <c r="AI712" i="2"/>
  <c r="AH712" i="2"/>
  <c r="AG712" i="2"/>
  <c r="AF712" i="2"/>
  <c r="AE712" i="2"/>
  <c r="AD712" i="2"/>
  <c r="AC712" i="2"/>
  <c r="AB712" i="2"/>
  <c r="AA712" i="2"/>
  <c r="R712" i="2"/>
  <c r="N712" i="2"/>
  <c r="M712" i="2"/>
  <c r="L712" i="2"/>
  <c r="K712" i="2"/>
  <c r="K711" i="2" s="1"/>
  <c r="H712" i="2"/>
  <c r="F712" i="2"/>
  <c r="E712" i="2"/>
  <c r="E711" i="2" s="1"/>
  <c r="BK711" i="2"/>
  <c r="BD711" i="2"/>
  <c r="AZ711" i="2"/>
  <c r="AN711" i="2"/>
  <c r="AG711" i="2"/>
  <c r="AA711" i="2"/>
  <c r="L711" i="2"/>
  <c r="BO710" i="2"/>
  <c r="X710" i="2"/>
  <c r="T710" i="2"/>
  <c r="S710" i="2"/>
  <c r="V710" i="2" s="1"/>
  <c r="BT710" i="2" s="1"/>
  <c r="R710" i="2"/>
  <c r="R707" i="2" s="1"/>
  <c r="Q710" i="2"/>
  <c r="Z710" i="2" s="1"/>
  <c r="P710" i="2"/>
  <c r="Y710" i="2" s="1"/>
  <c r="O710" i="2"/>
  <c r="BN710" i="2" s="1"/>
  <c r="I710" i="2"/>
  <c r="G710" i="2"/>
  <c r="J710" i="2" s="1"/>
  <c r="Y709" i="2"/>
  <c r="T709" i="2"/>
  <c r="S709" i="2"/>
  <c r="V709" i="2" s="1"/>
  <c r="BT709" i="2" s="1"/>
  <c r="R709" i="2"/>
  <c r="Q709" i="2"/>
  <c r="Z709" i="2" s="1"/>
  <c r="P709" i="2"/>
  <c r="O709" i="2"/>
  <c r="BN709" i="2" s="1"/>
  <c r="J709" i="2"/>
  <c r="I709" i="2"/>
  <c r="G709" i="2"/>
  <c r="BO708" i="2"/>
  <c r="Z708" i="2"/>
  <c r="T708" i="2"/>
  <c r="T707" i="2" s="1"/>
  <c r="S708" i="2"/>
  <c r="V708" i="2" s="1"/>
  <c r="R708" i="2"/>
  <c r="Q708" i="2"/>
  <c r="W708" i="2" s="1"/>
  <c r="P708" i="2"/>
  <c r="Y708" i="2" s="1"/>
  <c r="O708" i="2"/>
  <c r="O707" i="2" s="1"/>
  <c r="G708" i="2"/>
  <c r="BM707" i="2"/>
  <c r="BL707" i="2"/>
  <c r="BK707" i="2"/>
  <c r="BJ707" i="2"/>
  <c r="BI707" i="2"/>
  <c r="BH707" i="2"/>
  <c r="BG707" i="2"/>
  <c r="BF707" i="2"/>
  <c r="BE707" i="2"/>
  <c r="BD707" i="2"/>
  <c r="BC707" i="2"/>
  <c r="BB707" i="2"/>
  <c r="BA707" i="2"/>
  <c r="AZ707" i="2"/>
  <c r="AY707" i="2"/>
  <c r="AX707" i="2"/>
  <c r="AW707" i="2"/>
  <c r="AV707" i="2"/>
  <c r="AU707" i="2"/>
  <c r="AT707" i="2"/>
  <c r="AS707" i="2"/>
  <c r="AR707" i="2"/>
  <c r="AQ707" i="2"/>
  <c r="AP707" i="2"/>
  <c r="AO707" i="2"/>
  <c r="AN707" i="2"/>
  <c r="AM707" i="2"/>
  <c r="AL707" i="2"/>
  <c r="AK707" i="2"/>
  <c r="AJ707" i="2"/>
  <c r="AI707" i="2"/>
  <c r="AH707" i="2"/>
  <c r="AG707" i="2"/>
  <c r="AF707" i="2"/>
  <c r="AE707" i="2"/>
  <c r="AD707" i="2"/>
  <c r="AC707" i="2"/>
  <c r="AB707" i="2"/>
  <c r="AA707" i="2"/>
  <c r="X707" i="2"/>
  <c r="S707" i="2"/>
  <c r="P707" i="2"/>
  <c r="Y707" i="2" s="1"/>
  <c r="N707" i="2"/>
  <c r="M707" i="2"/>
  <c r="L707" i="2"/>
  <c r="K707" i="2"/>
  <c r="H707" i="2"/>
  <c r="F707" i="2"/>
  <c r="E707" i="2"/>
  <c r="BN706" i="2"/>
  <c r="BP706" i="2" s="1"/>
  <c r="AP706" i="2"/>
  <c r="AM706" i="2"/>
  <c r="AJ706" i="2"/>
  <c r="O706" i="2" s="1"/>
  <c r="AG706" i="2"/>
  <c r="X706" i="2"/>
  <c r="T706" i="2"/>
  <c r="T705" i="2" s="1"/>
  <c r="S706" i="2"/>
  <c r="S705" i="2" s="1"/>
  <c r="R706" i="2"/>
  <c r="Q706" i="2"/>
  <c r="BO706" i="2" s="1"/>
  <c r="BO705" i="2" s="1"/>
  <c r="P706" i="2"/>
  <c r="P705" i="2" s="1"/>
  <c r="Y705" i="2" s="1"/>
  <c r="K706" i="2"/>
  <c r="J706" i="2"/>
  <c r="I706" i="2"/>
  <c r="G706" i="2"/>
  <c r="BM705" i="2"/>
  <c r="BL705" i="2"/>
  <c r="BK705" i="2"/>
  <c r="BJ705" i="2"/>
  <c r="BI705" i="2"/>
  <c r="BH705" i="2"/>
  <c r="BG705" i="2"/>
  <c r="BF705" i="2"/>
  <c r="BE705" i="2"/>
  <c r="BD705" i="2"/>
  <c r="BC705" i="2"/>
  <c r="BB705" i="2"/>
  <c r="BA705" i="2"/>
  <c r="AZ705" i="2"/>
  <c r="AY705" i="2"/>
  <c r="AX705" i="2"/>
  <c r="AW705" i="2"/>
  <c r="AV705" i="2"/>
  <c r="AU705" i="2"/>
  <c r="AT705" i="2"/>
  <c r="AS705" i="2"/>
  <c r="AR705" i="2"/>
  <c r="AQ705" i="2"/>
  <c r="AP705" i="2"/>
  <c r="AO705" i="2"/>
  <c r="AN705" i="2"/>
  <c r="AM705" i="2"/>
  <c r="AL705" i="2"/>
  <c r="AK705" i="2"/>
  <c r="AJ705" i="2"/>
  <c r="AI705" i="2"/>
  <c r="AH705" i="2"/>
  <c r="AG705" i="2"/>
  <c r="AF705" i="2"/>
  <c r="AE705" i="2"/>
  <c r="AD705" i="2"/>
  <c r="AC705" i="2"/>
  <c r="AB705" i="2"/>
  <c r="AA705" i="2"/>
  <c r="R705" i="2"/>
  <c r="Q705" i="2"/>
  <c r="Z705" i="2" s="1"/>
  <c r="O705" i="2"/>
  <c r="N705" i="2"/>
  <c r="M705" i="2"/>
  <c r="L705" i="2"/>
  <c r="K705" i="2"/>
  <c r="J705" i="2"/>
  <c r="I705" i="2"/>
  <c r="H705" i="2"/>
  <c r="G705" i="2"/>
  <c r="F705" i="2"/>
  <c r="E705" i="2"/>
  <c r="AQ704" i="2"/>
  <c r="AP704" i="2"/>
  <c r="AN704" i="2"/>
  <c r="AH704" i="2"/>
  <c r="W704" i="2"/>
  <c r="BR704" i="2" s="1"/>
  <c r="T704" i="2"/>
  <c r="Q704" i="2"/>
  <c r="G704" i="2"/>
  <c r="BU703" i="2"/>
  <c r="BO703" i="2"/>
  <c r="Y703" i="2"/>
  <c r="X703" i="2"/>
  <c r="T703" i="2"/>
  <c r="S703" i="2"/>
  <c r="V703" i="2" s="1"/>
  <c r="BT703" i="2" s="1"/>
  <c r="R703" i="2"/>
  <c r="Q703" i="2"/>
  <c r="Z703" i="2" s="1"/>
  <c r="P703" i="2"/>
  <c r="O703" i="2"/>
  <c r="BN703" i="2" s="1"/>
  <c r="BP703" i="2" s="1"/>
  <c r="G703" i="2"/>
  <c r="AP702" i="2"/>
  <c r="Z702" i="2"/>
  <c r="T702" i="2"/>
  <c r="S702" i="2"/>
  <c r="V702" i="2" s="1"/>
  <c r="BT702" i="2" s="1"/>
  <c r="R702" i="2"/>
  <c r="Q702" i="2"/>
  <c r="BO702" i="2" s="1"/>
  <c r="P702" i="2"/>
  <c r="Y702" i="2" s="1"/>
  <c r="O702" i="2"/>
  <c r="K702" i="2"/>
  <c r="I702" i="2"/>
  <c r="G702" i="2"/>
  <c r="BO701" i="2"/>
  <c r="W701" i="2"/>
  <c r="BR701" i="2" s="1"/>
  <c r="V701" i="2"/>
  <c r="BT701" i="2" s="1"/>
  <c r="T701" i="2"/>
  <c r="S701" i="2"/>
  <c r="R701" i="2"/>
  <c r="Q701" i="2"/>
  <c r="Z701" i="2" s="1"/>
  <c r="P701" i="2"/>
  <c r="Y701" i="2" s="1"/>
  <c r="O701" i="2"/>
  <c r="X701" i="2" s="1"/>
  <c r="J701" i="2"/>
  <c r="G701" i="2"/>
  <c r="I701" i="2" s="1"/>
  <c r="BT700" i="2"/>
  <c r="BN700" i="2"/>
  <c r="X700" i="2"/>
  <c r="V700" i="2"/>
  <c r="T700" i="2"/>
  <c r="S700" i="2"/>
  <c r="R700" i="2"/>
  <c r="Q700" i="2"/>
  <c r="P700" i="2"/>
  <c r="Y700" i="2" s="1"/>
  <c r="O700" i="2"/>
  <c r="U700" i="2" s="1"/>
  <c r="BQ700" i="2" s="1"/>
  <c r="G700" i="2"/>
  <c r="BU699" i="2"/>
  <c r="BO699" i="2"/>
  <c r="Y699" i="2"/>
  <c r="X699" i="2"/>
  <c r="T699" i="2"/>
  <c r="S699" i="2"/>
  <c r="V699" i="2" s="1"/>
  <c r="BT699" i="2" s="1"/>
  <c r="R699" i="2"/>
  <c r="Q699" i="2"/>
  <c r="Z699" i="2" s="1"/>
  <c r="P699" i="2"/>
  <c r="O699" i="2"/>
  <c r="BN699" i="2" s="1"/>
  <c r="BP699" i="2" s="1"/>
  <c r="G699" i="2"/>
  <c r="Y698" i="2"/>
  <c r="X698" i="2"/>
  <c r="T698" i="2"/>
  <c r="S698" i="2"/>
  <c r="R698" i="2"/>
  <c r="Q698" i="2"/>
  <c r="P698" i="2"/>
  <c r="O698" i="2"/>
  <c r="K698" i="2"/>
  <c r="J698" i="2"/>
  <c r="G698" i="2"/>
  <c r="I698" i="2" s="1"/>
  <c r="BM697" i="2"/>
  <c r="BL697" i="2"/>
  <c r="BK697" i="2"/>
  <c r="BJ697" i="2"/>
  <c r="BI697" i="2"/>
  <c r="BH697" i="2"/>
  <c r="BG697" i="2"/>
  <c r="BF697" i="2"/>
  <c r="BE697" i="2"/>
  <c r="BD697" i="2"/>
  <c r="BC697" i="2"/>
  <c r="BB697" i="2"/>
  <c r="BA697" i="2"/>
  <c r="AZ697" i="2"/>
  <c r="AY697" i="2"/>
  <c r="AX697" i="2"/>
  <c r="AW697" i="2"/>
  <c r="AV697" i="2"/>
  <c r="AU697" i="2"/>
  <c r="AT697" i="2"/>
  <c r="AS697" i="2"/>
  <c r="AR697" i="2"/>
  <c r="AQ697" i="2"/>
  <c r="AO697" i="2"/>
  <c r="AN697" i="2"/>
  <c r="AM697" i="2"/>
  <c r="AL697" i="2"/>
  <c r="AK697" i="2"/>
  <c r="AJ697" i="2"/>
  <c r="AI697" i="2"/>
  <c r="AH697" i="2"/>
  <c r="AG697" i="2"/>
  <c r="AF697" i="2"/>
  <c r="AE697" i="2"/>
  <c r="AD697" i="2"/>
  <c r="AC697" i="2"/>
  <c r="AB697" i="2"/>
  <c r="AA697" i="2"/>
  <c r="N697" i="2"/>
  <c r="M697" i="2"/>
  <c r="L697" i="2"/>
  <c r="H697" i="2"/>
  <c r="F697" i="2"/>
  <c r="E697" i="2"/>
  <c r="BT696" i="2"/>
  <c r="BO696" i="2"/>
  <c r="BN696" i="2"/>
  <c r="BP696" i="2" s="1"/>
  <c r="BU696" i="2" s="1"/>
  <c r="Z696" i="2"/>
  <c r="Y696" i="2"/>
  <c r="X696" i="2"/>
  <c r="T696" i="2"/>
  <c r="S696" i="2"/>
  <c r="V696" i="2" s="1"/>
  <c r="R696" i="2"/>
  <c r="Q696" i="2"/>
  <c r="W696" i="2" s="1"/>
  <c r="BR696" i="2" s="1"/>
  <c r="P696" i="2"/>
  <c r="O696" i="2"/>
  <c r="U696" i="2" s="1"/>
  <c r="BQ696" i="2" s="1"/>
  <c r="BS696" i="2" s="1"/>
  <c r="BV696" i="2" s="1"/>
  <c r="BW696" i="2" s="1"/>
  <c r="J696" i="2"/>
  <c r="G696" i="2"/>
  <c r="I696" i="2" s="1"/>
  <c r="AP695" i="2"/>
  <c r="AM695" i="2"/>
  <c r="AJ695" i="2"/>
  <c r="AG695" i="2"/>
  <c r="Y695" i="2"/>
  <c r="T695" i="2"/>
  <c r="S695" i="2"/>
  <c r="V695" i="2" s="1"/>
  <c r="BT695" i="2" s="1"/>
  <c r="Q695" i="2"/>
  <c r="P695" i="2"/>
  <c r="K695" i="2"/>
  <c r="G695" i="2"/>
  <c r="BO694" i="2"/>
  <c r="BN694" i="2"/>
  <c r="Z694" i="2"/>
  <c r="V694" i="2"/>
  <c r="V693" i="2" s="1"/>
  <c r="T694" i="2"/>
  <c r="S694" i="2"/>
  <c r="R694" i="2"/>
  <c r="Q694" i="2"/>
  <c r="W694" i="2" s="1"/>
  <c r="BR694" i="2" s="1"/>
  <c r="P694" i="2"/>
  <c r="O694" i="2"/>
  <c r="J694" i="2"/>
  <c r="I694" i="2"/>
  <c r="G694" i="2"/>
  <c r="BM693" i="2"/>
  <c r="BL693" i="2"/>
  <c r="BK693" i="2"/>
  <c r="BJ693" i="2"/>
  <c r="BI693" i="2"/>
  <c r="BH693" i="2"/>
  <c r="BG693" i="2"/>
  <c r="BF693" i="2"/>
  <c r="BE693" i="2"/>
  <c r="BD693" i="2"/>
  <c r="BC693" i="2"/>
  <c r="BB693" i="2"/>
  <c r="BA693" i="2"/>
  <c r="AZ693" i="2"/>
  <c r="AY693" i="2"/>
  <c r="AX693" i="2"/>
  <c r="AW693" i="2"/>
  <c r="AV693" i="2"/>
  <c r="AU693" i="2"/>
  <c r="AT693" i="2"/>
  <c r="AS693" i="2"/>
  <c r="AR693" i="2"/>
  <c r="AQ693" i="2"/>
  <c r="AP693" i="2"/>
  <c r="AO693" i="2"/>
  <c r="AN693" i="2"/>
  <c r="AL693" i="2"/>
  <c r="AK693" i="2"/>
  <c r="AJ693" i="2"/>
  <c r="AI693" i="2"/>
  <c r="AH693" i="2"/>
  <c r="AG693" i="2"/>
  <c r="AF693" i="2"/>
  <c r="AE693" i="2"/>
  <c r="AD693" i="2"/>
  <c r="AC693" i="2"/>
  <c r="AB693" i="2"/>
  <c r="AA693" i="2"/>
  <c r="S693" i="2"/>
  <c r="N693" i="2"/>
  <c r="N631" i="2" s="1"/>
  <c r="M693" i="2"/>
  <c r="L693" i="2"/>
  <c r="H693" i="2"/>
  <c r="F693" i="2"/>
  <c r="E693" i="2"/>
  <c r="BU692" i="2"/>
  <c r="BR692" i="2"/>
  <c r="BO692" i="2"/>
  <c r="BN692" i="2"/>
  <c r="BP692" i="2" s="1"/>
  <c r="V692" i="2"/>
  <c r="BT692" i="2" s="1"/>
  <c r="T692" i="2"/>
  <c r="S692" i="2"/>
  <c r="R692" i="2"/>
  <c r="Q692" i="2"/>
  <c r="W692" i="2" s="1"/>
  <c r="P692" i="2"/>
  <c r="Y692" i="2" s="1"/>
  <c r="O692" i="2"/>
  <c r="X692" i="2" s="1"/>
  <c r="J692" i="2"/>
  <c r="I692" i="2"/>
  <c r="G692" i="2"/>
  <c r="Z691" i="2"/>
  <c r="V691" i="2"/>
  <c r="BT691" i="2" s="1"/>
  <c r="T691" i="2"/>
  <c r="S691" i="2"/>
  <c r="R691" i="2"/>
  <c r="Q691" i="2"/>
  <c r="P691" i="2"/>
  <c r="Y691" i="2" s="1"/>
  <c r="O691" i="2"/>
  <c r="X691" i="2" s="1"/>
  <c r="J691" i="2"/>
  <c r="G691" i="2"/>
  <c r="I691" i="2" s="1"/>
  <c r="BT690" i="2"/>
  <c r="BN690" i="2"/>
  <c r="V690" i="2"/>
  <c r="T690" i="2"/>
  <c r="S690" i="2"/>
  <c r="R690" i="2"/>
  <c r="Q690" i="2"/>
  <c r="W690" i="2" s="1"/>
  <c r="BR690" i="2" s="1"/>
  <c r="P690" i="2"/>
  <c r="Y690" i="2" s="1"/>
  <c r="O690" i="2"/>
  <c r="X690" i="2" s="1"/>
  <c r="G690" i="2"/>
  <c r="Z689" i="2"/>
  <c r="Y689" i="2"/>
  <c r="X689" i="2"/>
  <c r="T689" i="2"/>
  <c r="S689" i="2"/>
  <c r="V689" i="2" s="1"/>
  <c r="R689" i="2"/>
  <c r="Q689" i="2"/>
  <c r="W689" i="2" s="1"/>
  <c r="P689" i="2"/>
  <c r="O689" i="2"/>
  <c r="U689" i="2" s="1"/>
  <c r="J689" i="2"/>
  <c r="G689" i="2"/>
  <c r="I689" i="2" s="1"/>
  <c r="BR688" i="2"/>
  <c r="BO688" i="2"/>
  <c r="BN688" i="2"/>
  <c r="BP688" i="2" s="1"/>
  <c r="Z688" i="2"/>
  <c r="Y688" i="2"/>
  <c r="T688" i="2"/>
  <c r="S688" i="2"/>
  <c r="V688" i="2" s="1"/>
  <c r="BT688" i="2" s="1"/>
  <c r="R688" i="2"/>
  <c r="Q688" i="2"/>
  <c r="W688" i="2" s="1"/>
  <c r="P688" i="2"/>
  <c r="O688" i="2"/>
  <c r="X688" i="2" s="1"/>
  <c r="J688" i="2"/>
  <c r="I688" i="2"/>
  <c r="G688" i="2"/>
  <c r="BO687" i="2"/>
  <c r="BN687" i="2"/>
  <c r="BP687" i="2" s="1"/>
  <c r="Z687" i="2"/>
  <c r="X687" i="2"/>
  <c r="V687" i="2"/>
  <c r="BT687" i="2" s="1"/>
  <c r="T687" i="2"/>
  <c r="S687" i="2"/>
  <c r="R687" i="2"/>
  <c r="Q687" i="2"/>
  <c r="W687" i="2" s="1"/>
  <c r="BR687" i="2" s="1"/>
  <c r="P687" i="2"/>
  <c r="Y687" i="2" s="1"/>
  <c r="O687" i="2"/>
  <c r="U687" i="2" s="1"/>
  <c r="BQ687" i="2" s="1"/>
  <c r="J687" i="2"/>
  <c r="G687" i="2"/>
  <c r="I687" i="2" s="1"/>
  <c r="T686" i="2"/>
  <c r="S686" i="2"/>
  <c r="V686" i="2" s="1"/>
  <c r="BT686" i="2" s="1"/>
  <c r="R686" i="2"/>
  <c r="Q686" i="2"/>
  <c r="P686" i="2"/>
  <c r="O686" i="2"/>
  <c r="BN686" i="2" s="1"/>
  <c r="J686" i="2"/>
  <c r="I686" i="2"/>
  <c r="G686" i="2"/>
  <c r="BT685" i="2"/>
  <c r="T685" i="2"/>
  <c r="S685" i="2"/>
  <c r="V685" i="2" s="1"/>
  <c r="R685" i="2"/>
  <c r="Q685" i="2"/>
  <c r="P685" i="2"/>
  <c r="O685" i="2"/>
  <c r="BN685" i="2" s="1"/>
  <c r="I685" i="2"/>
  <c r="G685" i="2"/>
  <c r="J685" i="2" s="1"/>
  <c r="V684" i="2"/>
  <c r="BT684" i="2" s="1"/>
  <c r="T684" i="2"/>
  <c r="S684" i="2"/>
  <c r="R684" i="2"/>
  <c r="Q684" i="2"/>
  <c r="BO684" i="2" s="1"/>
  <c r="P684" i="2"/>
  <c r="O684" i="2"/>
  <c r="BN684" i="2" s="1"/>
  <c r="I684" i="2"/>
  <c r="G684" i="2"/>
  <c r="J684" i="2" s="1"/>
  <c r="X683" i="2"/>
  <c r="V683" i="2"/>
  <c r="BT683" i="2" s="1"/>
  <c r="T683" i="2"/>
  <c r="S683" i="2"/>
  <c r="R683" i="2"/>
  <c r="Q683" i="2"/>
  <c r="P683" i="2"/>
  <c r="Y683" i="2" s="1"/>
  <c r="O683" i="2"/>
  <c r="BN683" i="2" s="1"/>
  <c r="J683" i="2"/>
  <c r="G683" i="2"/>
  <c r="I683" i="2" s="1"/>
  <c r="BT682" i="2"/>
  <c r="BR682" i="2"/>
  <c r="Y682" i="2"/>
  <c r="W682" i="2"/>
  <c r="T682" i="2"/>
  <c r="S682" i="2"/>
  <c r="V682" i="2" s="1"/>
  <c r="R682" i="2"/>
  <c r="Q682" i="2"/>
  <c r="P682" i="2"/>
  <c r="O682" i="2"/>
  <c r="BN682" i="2" s="1"/>
  <c r="G682" i="2"/>
  <c r="J682" i="2" s="1"/>
  <c r="BU681" i="2"/>
  <c r="BR681" i="2"/>
  <c r="BO681" i="2"/>
  <c r="Z681" i="2"/>
  <c r="X681" i="2"/>
  <c r="V681" i="2"/>
  <c r="BT681" i="2" s="1"/>
  <c r="T681" i="2"/>
  <c r="S681" i="2"/>
  <c r="R681" i="2"/>
  <c r="Q681" i="2"/>
  <c r="W681" i="2" s="1"/>
  <c r="P681" i="2"/>
  <c r="Y681" i="2" s="1"/>
  <c r="O681" i="2"/>
  <c r="BN681" i="2" s="1"/>
  <c r="BP681" i="2" s="1"/>
  <c r="G681" i="2"/>
  <c r="BT680" i="2"/>
  <c r="BN680" i="2"/>
  <c r="BP680" i="2" s="1"/>
  <c r="Y680" i="2"/>
  <c r="W680" i="2"/>
  <c r="BR680" i="2" s="1"/>
  <c r="T680" i="2"/>
  <c r="S680" i="2"/>
  <c r="V680" i="2" s="1"/>
  <c r="R680" i="2"/>
  <c r="Q680" i="2"/>
  <c r="BO680" i="2" s="1"/>
  <c r="P680" i="2"/>
  <c r="O680" i="2"/>
  <c r="X680" i="2" s="1"/>
  <c r="J680" i="2"/>
  <c r="I680" i="2"/>
  <c r="G680" i="2"/>
  <c r="BN679" i="2"/>
  <c r="X679" i="2"/>
  <c r="W679" i="2"/>
  <c r="BR679" i="2" s="1"/>
  <c r="V679" i="2"/>
  <c r="BT679" i="2" s="1"/>
  <c r="T679" i="2"/>
  <c r="S679" i="2"/>
  <c r="R679" i="2"/>
  <c r="Q679" i="2"/>
  <c r="BO679" i="2" s="1"/>
  <c r="BP679" i="2" s="1"/>
  <c r="P679" i="2"/>
  <c r="Y679" i="2" s="1"/>
  <c r="O679" i="2"/>
  <c r="U679" i="2" s="1"/>
  <c r="BQ679" i="2" s="1"/>
  <c r="BS679" i="2" s="1"/>
  <c r="BV679" i="2" s="1"/>
  <c r="G679" i="2"/>
  <c r="BO678" i="2"/>
  <c r="BN678" i="2"/>
  <c r="BP678" i="2" s="1"/>
  <c r="BU678" i="2" s="1"/>
  <c r="V678" i="2"/>
  <c r="BT678" i="2" s="1"/>
  <c r="T678" i="2"/>
  <c r="S678" i="2"/>
  <c r="R678" i="2"/>
  <c r="Q678" i="2"/>
  <c r="Z678" i="2" s="1"/>
  <c r="P678" i="2"/>
  <c r="Y678" i="2" s="1"/>
  <c r="O678" i="2"/>
  <c r="X678" i="2" s="1"/>
  <c r="I678" i="2"/>
  <c r="G678" i="2"/>
  <c r="J678" i="2" s="1"/>
  <c r="BR677" i="2"/>
  <c r="BO677" i="2"/>
  <c r="Y677" i="2"/>
  <c r="X677" i="2"/>
  <c r="T677" i="2"/>
  <c r="S677" i="2"/>
  <c r="V677" i="2" s="1"/>
  <c r="BT677" i="2" s="1"/>
  <c r="R677" i="2"/>
  <c r="Q677" i="2"/>
  <c r="W677" i="2" s="1"/>
  <c r="P677" i="2"/>
  <c r="O677" i="2"/>
  <c r="BN677" i="2" s="1"/>
  <c r="G677" i="2"/>
  <c r="J677" i="2" s="1"/>
  <c r="Y676" i="2"/>
  <c r="X676" i="2"/>
  <c r="W676" i="2"/>
  <c r="BR676" i="2" s="1"/>
  <c r="T676" i="2"/>
  <c r="S676" i="2"/>
  <c r="V676" i="2" s="1"/>
  <c r="BT676" i="2" s="1"/>
  <c r="R676" i="2"/>
  <c r="Q676" i="2"/>
  <c r="P676" i="2"/>
  <c r="O676" i="2"/>
  <c r="BN676" i="2" s="1"/>
  <c r="G676" i="2"/>
  <c r="BU675" i="2"/>
  <c r="BO675" i="2"/>
  <c r="BN675" i="2"/>
  <c r="BP675" i="2" s="1"/>
  <c r="Z675" i="2"/>
  <c r="V675" i="2"/>
  <c r="BT675" i="2" s="1"/>
  <c r="T675" i="2"/>
  <c r="S675" i="2"/>
  <c r="R675" i="2"/>
  <c r="Q675" i="2"/>
  <c r="W675" i="2" s="1"/>
  <c r="BR675" i="2" s="1"/>
  <c r="P675" i="2"/>
  <c r="Y675" i="2" s="1"/>
  <c r="O675" i="2"/>
  <c r="X675" i="2" s="1"/>
  <c r="J675" i="2"/>
  <c r="I675" i="2"/>
  <c r="G675" i="2"/>
  <c r="BR674" i="2"/>
  <c r="BN674" i="2"/>
  <c r="Y674" i="2"/>
  <c r="W674" i="2"/>
  <c r="T674" i="2"/>
  <c r="S674" i="2"/>
  <c r="V674" i="2" s="1"/>
  <c r="BT674" i="2" s="1"/>
  <c r="R674" i="2"/>
  <c r="Q674" i="2"/>
  <c r="BO674" i="2" s="1"/>
  <c r="P674" i="2"/>
  <c r="O674" i="2"/>
  <c r="X674" i="2" s="1"/>
  <c r="J674" i="2"/>
  <c r="I674" i="2"/>
  <c r="G674" i="2"/>
  <c r="BT673" i="2"/>
  <c r="BP673" i="2"/>
  <c r="BN673" i="2"/>
  <c r="X673" i="2"/>
  <c r="W673" i="2"/>
  <c r="BR673" i="2" s="1"/>
  <c r="V673" i="2"/>
  <c r="T673" i="2"/>
  <c r="S673" i="2"/>
  <c r="R673" i="2"/>
  <c r="Q673" i="2"/>
  <c r="BO673" i="2" s="1"/>
  <c r="P673" i="2"/>
  <c r="Y673" i="2" s="1"/>
  <c r="O673" i="2"/>
  <c r="U673" i="2" s="1"/>
  <c r="BQ673" i="2" s="1"/>
  <c r="BS673" i="2" s="1"/>
  <c r="BV673" i="2" s="1"/>
  <c r="G673" i="2"/>
  <c r="BO672" i="2"/>
  <c r="V672" i="2"/>
  <c r="BT672" i="2" s="1"/>
  <c r="T672" i="2"/>
  <c r="S672" i="2"/>
  <c r="R672" i="2"/>
  <c r="Q672" i="2"/>
  <c r="Z672" i="2" s="1"/>
  <c r="P672" i="2"/>
  <c r="Y672" i="2" s="1"/>
  <c r="O672" i="2"/>
  <c r="X672" i="2" s="1"/>
  <c r="E672" i="2"/>
  <c r="G672" i="2" s="1"/>
  <c r="AP671" i="2"/>
  <c r="O671" i="2" s="1"/>
  <c r="U671" i="2" s="1"/>
  <c r="X671" i="2"/>
  <c r="W671" i="2"/>
  <c r="V671" i="2"/>
  <c r="T671" i="2"/>
  <c r="S671" i="2"/>
  <c r="R671" i="2"/>
  <c r="Q671" i="2"/>
  <c r="Z671" i="2" s="1"/>
  <c r="P671" i="2"/>
  <c r="Y671" i="2" s="1"/>
  <c r="G671" i="2"/>
  <c r="BO670" i="2"/>
  <c r="V670" i="2"/>
  <c r="BT670" i="2" s="1"/>
  <c r="T670" i="2"/>
  <c r="S670" i="2"/>
  <c r="R670" i="2"/>
  <c r="Q670" i="2"/>
  <c r="Z670" i="2" s="1"/>
  <c r="P670" i="2"/>
  <c r="Y670" i="2" s="1"/>
  <c r="O670" i="2"/>
  <c r="BN670" i="2" s="1"/>
  <c r="G670" i="2"/>
  <c r="J670" i="2" s="1"/>
  <c r="BO669" i="2"/>
  <c r="Z669" i="2"/>
  <c r="Y669" i="2"/>
  <c r="X669" i="2"/>
  <c r="W669" i="2"/>
  <c r="BR669" i="2" s="1"/>
  <c r="T669" i="2"/>
  <c r="S669" i="2"/>
  <c r="V669" i="2" s="1"/>
  <c r="BT669" i="2" s="1"/>
  <c r="R669" i="2"/>
  <c r="Q669" i="2"/>
  <c r="P669" i="2"/>
  <c r="O669" i="2"/>
  <c r="BN669" i="2" s="1"/>
  <c r="BP669" i="2" s="1"/>
  <c r="J669" i="2"/>
  <c r="I669" i="2"/>
  <c r="G669" i="2"/>
  <c r="BN668" i="2"/>
  <c r="BP668" i="2" s="1"/>
  <c r="Y668" i="2"/>
  <c r="X668" i="2"/>
  <c r="W668" i="2"/>
  <c r="BR668" i="2" s="1"/>
  <c r="T668" i="2"/>
  <c r="S668" i="2"/>
  <c r="V668" i="2" s="1"/>
  <c r="BT668" i="2" s="1"/>
  <c r="R668" i="2"/>
  <c r="Q668" i="2"/>
  <c r="BO668" i="2" s="1"/>
  <c r="P668" i="2"/>
  <c r="O668" i="2"/>
  <c r="U668" i="2" s="1"/>
  <c r="BQ668" i="2" s="1"/>
  <c r="BS668" i="2" s="1"/>
  <c r="BV668" i="2" s="1"/>
  <c r="G668" i="2"/>
  <c r="BR667" i="2"/>
  <c r="BO667" i="2"/>
  <c r="BN667" i="2"/>
  <c r="BP667" i="2" s="1"/>
  <c r="Z667" i="2"/>
  <c r="V667" i="2"/>
  <c r="BT667" i="2" s="1"/>
  <c r="T667" i="2"/>
  <c r="S667" i="2"/>
  <c r="R667" i="2"/>
  <c r="Q667" i="2"/>
  <c r="W667" i="2" s="1"/>
  <c r="P667" i="2"/>
  <c r="Y667" i="2" s="1"/>
  <c r="O667" i="2"/>
  <c r="X667" i="2" s="1"/>
  <c r="J667" i="2"/>
  <c r="G667" i="2"/>
  <c r="I667" i="2" s="1"/>
  <c r="BO666" i="2"/>
  <c r="BN666" i="2"/>
  <c r="BP666" i="2" s="1"/>
  <c r="AP666" i="2"/>
  <c r="R666" i="2" s="1"/>
  <c r="Z666" i="2"/>
  <c r="V666" i="2"/>
  <c r="BT666" i="2" s="1"/>
  <c r="U666" i="2"/>
  <c r="BQ666" i="2" s="1"/>
  <c r="BS666" i="2" s="1"/>
  <c r="BV666" i="2" s="1"/>
  <c r="T666" i="2"/>
  <c r="S666" i="2"/>
  <c r="Q666" i="2"/>
  <c r="W666" i="2" s="1"/>
  <c r="BR666" i="2" s="1"/>
  <c r="P666" i="2"/>
  <c r="Y666" i="2" s="1"/>
  <c r="O666" i="2"/>
  <c r="X666" i="2" s="1"/>
  <c r="J666" i="2"/>
  <c r="G666" i="2"/>
  <c r="I666" i="2" s="1"/>
  <c r="BQ665" i="2"/>
  <c r="BN665" i="2"/>
  <c r="Y665" i="2"/>
  <c r="X665" i="2"/>
  <c r="T665" i="2"/>
  <c r="S665" i="2"/>
  <c r="V665" i="2" s="1"/>
  <c r="BT665" i="2" s="1"/>
  <c r="R665" i="2"/>
  <c r="Q665" i="2"/>
  <c r="P665" i="2"/>
  <c r="O665" i="2"/>
  <c r="U665" i="2" s="1"/>
  <c r="G665" i="2"/>
  <c r="J665" i="2" s="1"/>
  <c r="X664" i="2"/>
  <c r="V664" i="2"/>
  <c r="BT664" i="2" s="1"/>
  <c r="T664" i="2"/>
  <c r="S664" i="2"/>
  <c r="R664" i="2"/>
  <c r="Q664" i="2"/>
  <c r="Z664" i="2" s="1"/>
  <c r="P664" i="2"/>
  <c r="Y664" i="2" s="1"/>
  <c r="O664" i="2"/>
  <c r="BN664" i="2" s="1"/>
  <c r="J664" i="2"/>
  <c r="G664" i="2"/>
  <c r="I664" i="2" s="1"/>
  <c r="Z663" i="2"/>
  <c r="Y663" i="2"/>
  <c r="W663" i="2"/>
  <c r="BR663" i="2" s="1"/>
  <c r="T663" i="2"/>
  <c r="S663" i="2"/>
  <c r="V663" i="2" s="1"/>
  <c r="BT663" i="2" s="1"/>
  <c r="R663" i="2"/>
  <c r="Q663" i="2"/>
  <c r="BO663" i="2" s="1"/>
  <c r="P663" i="2"/>
  <c r="O663" i="2"/>
  <c r="G663" i="2"/>
  <c r="J663" i="2" s="1"/>
  <c r="BR662" i="2"/>
  <c r="BO662" i="2"/>
  <c r="BN662" i="2"/>
  <c r="BP662" i="2" s="1"/>
  <c r="Z662" i="2"/>
  <c r="X662" i="2"/>
  <c r="T662" i="2"/>
  <c r="S662" i="2"/>
  <c r="V662" i="2" s="1"/>
  <c r="BT662" i="2" s="1"/>
  <c r="R662" i="2"/>
  <c r="Q662" i="2"/>
  <c r="W662" i="2" s="1"/>
  <c r="P662" i="2"/>
  <c r="Y662" i="2" s="1"/>
  <c r="O662" i="2"/>
  <c r="U662" i="2" s="1"/>
  <c r="BQ662" i="2" s="1"/>
  <c r="G662" i="2"/>
  <c r="J662" i="2" s="1"/>
  <c r="V661" i="2"/>
  <c r="BT661" i="2" s="1"/>
  <c r="T661" i="2"/>
  <c r="S661" i="2"/>
  <c r="R661" i="2"/>
  <c r="Q661" i="2"/>
  <c r="Z661" i="2" s="1"/>
  <c r="P661" i="2"/>
  <c r="Y661" i="2" s="1"/>
  <c r="O661" i="2"/>
  <c r="J661" i="2"/>
  <c r="I661" i="2"/>
  <c r="G661" i="2"/>
  <c r="BO660" i="2"/>
  <c r="BN660" i="2"/>
  <c r="BP660" i="2" s="1"/>
  <c r="Z660" i="2"/>
  <c r="V660" i="2"/>
  <c r="BT660" i="2" s="1"/>
  <c r="T660" i="2"/>
  <c r="S660" i="2"/>
  <c r="R660" i="2"/>
  <c r="Q660" i="2"/>
  <c r="W660" i="2" s="1"/>
  <c r="BR660" i="2" s="1"/>
  <c r="P660" i="2"/>
  <c r="Y660" i="2" s="1"/>
  <c r="O660" i="2"/>
  <c r="K660" i="2"/>
  <c r="U660" i="2" s="1"/>
  <c r="BQ660" i="2" s="1"/>
  <c r="BS660" i="2" s="1"/>
  <c r="BV660" i="2" s="1"/>
  <c r="I660" i="2"/>
  <c r="G660" i="2"/>
  <c r="J660" i="2" s="1"/>
  <c r="Y659" i="2"/>
  <c r="X659" i="2"/>
  <c r="T659" i="2"/>
  <c r="S659" i="2"/>
  <c r="V659" i="2" s="1"/>
  <c r="BT659" i="2" s="1"/>
  <c r="R659" i="2"/>
  <c r="Q659" i="2"/>
  <c r="W659" i="2" s="1"/>
  <c r="BR659" i="2" s="1"/>
  <c r="P659" i="2"/>
  <c r="O659" i="2"/>
  <c r="BN659" i="2" s="1"/>
  <c r="G659" i="2"/>
  <c r="J659" i="2" s="1"/>
  <c r="Y658" i="2"/>
  <c r="X658" i="2"/>
  <c r="T658" i="2"/>
  <c r="S658" i="2"/>
  <c r="V658" i="2" s="1"/>
  <c r="BT658" i="2" s="1"/>
  <c r="R658" i="2"/>
  <c r="Q658" i="2"/>
  <c r="P658" i="2"/>
  <c r="O658" i="2"/>
  <c r="BN658" i="2" s="1"/>
  <c r="G658" i="2"/>
  <c r="J658" i="2" s="1"/>
  <c r="BR657" i="2"/>
  <c r="BO657" i="2"/>
  <c r="Z657" i="2"/>
  <c r="V657" i="2"/>
  <c r="BT657" i="2" s="1"/>
  <c r="T657" i="2"/>
  <c r="S657" i="2"/>
  <c r="R657" i="2"/>
  <c r="Q657" i="2"/>
  <c r="W657" i="2" s="1"/>
  <c r="P657" i="2"/>
  <c r="Y657" i="2" s="1"/>
  <c r="O657" i="2"/>
  <c r="X657" i="2" s="1"/>
  <c r="J657" i="2"/>
  <c r="I657" i="2"/>
  <c r="G657" i="2"/>
  <c r="BT656" i="2"/>
  <c r="BO656" i="2"/>
  <c r="Y656" i="2"/>
  <c r="W656" i="2"/>
  <c r="BR656" i="2" s="1"/>
  <c r="T656" i="2"/>
  <c r="S656" i="2"/>
  <c r="V656" i="2" s="1"/>
  <c r="R656" i="2"/>
  <c r="Q656" i="2"/>
  <c r="Z656" i="2" s="1"/>
  <c r="P656" i="2"/>
  <c r="O656" i="2"/>
  <c r="X656" i="2" s="1"/>
  <c r="J656" i="2"/>
  <c r="I656" i="2"/>
  <c r="G656" i="2"/>
  <c r="BT655" i="2"/>
  <c r="BS655" i="2"/>
  <c r="BV655" i="2" s="1"/>
  <c r="BN655" i="2"/>
  <c r="BP655" i="2" s="1"/>
  <c r="Z655" i="2"/>
  <c r="X655" i="2"/>
  <c r="W655" i="2"/>
  <c r="BR655" i="2" s="1"/>
  <c r="V655" i="2"/>
  <c r="T655" i="2"/>
  <c r="S655" i="2"/>
  <c r="R655" i="2"/>
  <c r="Q655" i="2"/>
  <c r="BO655" i="2" s="1"/>
  <c r="P655" i="2"/>
  <c r="Y655" i="2" s="1"/>
  <c r="O655" i="2"/>
  <c r="U655" i="2" s="1"/>
  <c r="BQ655" i="2" s="1"/>
  <c r="G655" i="2"/>
  <c r="I655" i="2" s="1"/>
  <c r="BO654" i="2"/>
  <c r="X654" i="2"/>
  <c r="V654" i="2"/>
  <c r="BT654" i="2" s="1"/>
  <c r="T654" i="2"/>
  <c r="S654" i="2"/>
  <c r="R654" i="2"/>
  <c r="Q654" i="2"/>
  <c r="Z654" i="2" s="1"/>
  <c r="P654" i="2"/>
  <c r="Y654" i="2" s="1"/>
  <c r="O654" i="2"/>
  <c r="U654" i="2" s="1"/>
  <c r="BQ654" i="2" s="1"/>
  <c r="I654" i="2"/>
  <c r="G654" i="2"/>
  <c r="BR653" i="2"/>
  <c r="BO653" i="2"/>
  <c r="Y653" i="2"/>
  <c r="X653" i="2"/>
  <c r="T653" i="2"/>
  <c r="S653" i="2"/>
  <c r="V653" i="2" s="1"/>
  <c r="BT653" i="2" s="1"/>
  <c r="R653" i="2"/>
  <c r="Q653" i="2"/>
  <c r="W653" i="2" s="1"/>
  <c r="P653" i="2"/>
  <c r="O653" i="2"/>
  <c r="BN653" i="2" s="1"/>
  <c r="J653" i="2"/>
  <c r="I653" i="2"/>
  <c r="G653" i="2"/>
  <c r="AH652" i="2"/>
  <c r="P652" i="2" s="1"/>
  <c r="Y652" i="2" s="1"/>
  <c r="Z652" i="2"/>
  <c r="X652" i="2"/>
  <c r="V652" i="2"/>
  <c r="BT652" i="2" s="1"/>
  <c r="T652" i="2"/>
  <c r="S652" i="2"/>
  <c r="R652" i="2"/>
  <c r="Q652" i="2"/>
  <c r="BO652" i="2" s="1"/>
  <c r="O652" i="2"/>
  <c r="BN652" i="2" s="1"/>
  <c r="BP652" i="2" s="1"/>
  <c r="G652" i="2"/>
  <c r="J652" i="2" s="1"/>
  <c r="BO651" i="2"/>
  <c r="AH651" i="2"/>
  <c r="Z651" i="2"/>
  <c r="T651" i="2"/>
  <c r="S651" i="2"/>
  <c r="V651" i="2" s="1"/>
  <c r="BT651" i="2" s="1"/>
  <c r="R651" i="2"/>
  <c r="Q651" i="2"/>
  <c r="W651" i="2" s="1"/>
  <c r="BR651" i="2" s="1"/>
  <c r="P651" i="2"/>
  <c r="Y651" i="2" s="1"/>
  <c r="O651" i="2"/>
  <c r="X651" i="2" s="1"/>
  <c r="G651" i="2"/>
  <c r="BO650" i="2"/>
  <c r="Z650" i="2"/>
  <c r="X650" i="2"/>
  <c r="W650" i="2"/>
  <c r="BR650" i="2" s="1"/>
  <c r="T650" i="2"/>
  <c r="S650" i="2"/>
  <c r="V650" i="2" s="1"/>
  <c r="BT650" i="2" s="1"/>
  <c r="R650" i="2"/>
  <c r="Q650" i="2"/>
  <c r="P650" i="2"/>
  <c r="Y650" i="2" s="1"/>
  <c r="O650" i="2"/>
  <c r="BN650" i="2" s="1"/>
  <c r="BP650" i="2" s="1"/>
  <c r="G650" i="2"/>
  <c r="J650" i="2" s="1"/>
  <c r="BV649" i="2"/>
  <c r="BN649" i="2"/>
  <c r="BP649" i="2" s="1"/>
  <c r="Y649" i="2"/>
  <c r="X649" i="2"/>
  <c r="W649" i="2"/>
  <c r="BR649" i="2" s="1"/>
  <c r="T649" i="2"/>
  <c r="S649" i="2"/>
  <c r="V649" i="2" s="1"/>
  <c r="BT649" i="2" s="1"/>
  <c r="R649" i="2"/>
  <c r="Q649" i="2"/>
  <c r="BO649" i="2" s="1"/>
  <c r="P649" i="2"/>
  <c r="O649" i="2"/>
  <c r="U649" i="2" s="1"/>
  <c r="BQ649" i="2" s="1"/>
  <c r="BS649" i="2" s="1"/>
  <c r="J649" i="2"/>
  <c r="G649" i="2"/>
  <c r="I649" i="2" s="1"/>
  <c r="BO648" i="2"/>
  <c r="BN648" i="2"/>
  <c r="BP648" i="2" s="1"/>
  <c r="Z648" i="2"/>
  <c r="Y648" i="2"/>
  <c r="V648" i="2"/>
  <c r="BT648" i="2" s="1"/>
  <c r="T648" i="2"/>
  <c r="S648" i="2"/>
  <c r="R648" i="2"/>
  <c r="Q648" i="2"/>
  <c r="W648" i="2" s="1"/>
  <c r="BR648" i="2" s="1"/>
  <c r="P648" i="2"/>
  <c r="O648" i="2"/>
  <c r="X648" i="2" s="1"/>
  <c r="G648" i="2"/>
  <c r="BN647" i="2"/>
  <c r="Z647" i="2"/>
  <c r="V647" i="2"/>
  <c r="BT647" i="2" s="1"/>
  <c r="T647" i="2"/>
  <c r="S647" i="2"/>
  <c r="R647" i="2"/>
  <c r="Q647" i="2"/>
  <c r="BO647" i="2" s="1"/>
  <c r="BP647" i="2" s="1"/>
  <c r="P647" i="2"/>
  <c r="Y647" i="2" s="1"/>
  <c r="O647" i="2"/>
  <c r="X647" i="2" s="1"/>
  <c r="J647" i="2"/>
  <c r="I647" i="2"/>
  <c r="G647" i="2"/>
  <c r="BO646" i="2"/>
  <c r="AP646" i="2"/>
  <c r="O646" i="2" s="1"/>
  <c r="V646" i="2"/>
  <c r="BT646" i="2" s="1"/>
  <c r="T646" i="2"/>
  <c r="S646" i="2"/>
  <c r="R646" i="2"/>
  <c r="Q646" i="2"/>
  <c r="Z646" i="2" s="1"/>
  <c r="P646" i="2"/>
  <c r="Y646" i="2" s="1"/>
  <c r="G646" i="2"/>
  <c r="J646" i="2" s="1"/>
  <c r="AP645" i="2"/>
  <c r="Y645" i="2"/>
  <c r="W645" i="2"/>
  <c r="BR645" i="2" s="1"/>
  <c r="T645" i="2"/>
  <c r="S645" i="2"/>
  <c r="V645" i="2" s="1"/>
  <c r="BT645" i="2" s="1"/>
  <c r="Q645" i="2"/>
  <c r="Z645" i="2" s="1"/>
  <c r="P645" i="2"/>
  <c r="K645" i="2"/>
  <c r="G645" i="2"/>
  <c r="J645" i="2" s="1"/>
  <c r="BT644" i="2"/>
  <c r="BO644" i="2"/>
  <c r="AM644" i="2"/>
  <c r="V644" i="2"/>
  <c r="T644" i="2"/>
  <c r="S644" i="2"/>
  <c r="Q644" i="2"/>
  <c r="Z644" i="2" s="1"/>
  <c r="P644" i="2"/>
  <c r="Y644" i="2" s="1"/>
  <c r="K644" i="2"/>
  <c r="G644" i="2"/>
  <c r="J644" i="2" s="1"/>
  <c r="BO643" i="2"/>
  <c r="AM643" i="2"/>
  <c r="AG643" i="2"/>
  <c r="Z643" i="2"/>
  <c r="V643" i="2"/>
  <c r="BT643" i="2" s="1"/>
  <c r="T643" i="2"/>
  <c r="S643" i="2"/>
  <c r="Q643" i="2"/>
  <c r="W643" i="2" s="1"/>
  <c r="BR643" i="2" s="1"/>
  <c r="P643" i="2"/>
  <c r="Y643" i="2" s="1"/>
  <c r="G643" i="2"/>
  <c r="I643" i="2" s="1"/>
  <c r="E643" i="2"/>
  <c r="BN642" i="2"/>
  <c r="X642" i="2"/>
  <c r="V642" i="2"/>
  <c r="BT642" i="2" s="1"/>
  <c r="T642" i="2"/>
  <c r="S642" i="2"/>
  <c r="R642" i="2"/>
  <c r="Q642" i="2"/>
  <c r="Z642" i="2" s="1"/>
  <c r="P642" i="2"/>
  <c r="Y642" i="2" s="1"/>
  <c r="O642" i="2"/>
  <c r="U642" i="2" s="1"/>
  <c r="BQ642" i="2" s="1"/>
  <c r="J642" i="2"/>
  <c r="G642" i="2"/>
  <c r="I642" i="2" s="1"/>
  <c r="BO641" i="2"/>
  <c r="BN641" i="2"/>
  <c r="BP641" i="2" s="1"/>
  <c r="X641" i="2"/>
  <c r="V641" i="2"/>
  <c r="BT641" i="2" s="1"/>
  <c r="T641" i="2"/>
  <c r="S641" i="2"/>
  <c r="R641" i="2"/>
  <c r="Q641" i="2"/>
  <c r="Z641" i="2" s="1"/>
  <c r="P641" i="2"/>
  <c r="Y641" i="2" s="1"/>
  <c r="O641" i="2"/>
  <c r="U641" i="2" s="1"/>
  <c r="BQ641" i="2" s="1"/>
  <c r="I641" i="2"/>
  <c r="G641" i="2"/>
  <c r="J641" i="2" s="1"/>
  <c r="Y640" i="2"/>
  <c r="X640" i="2"/>
  <c r="V640" i="2"/>
  <c r="BT640" i="2" s="1"/>
  <c r="T640" i="2"/>
  <c r="S640" i="2"/>
  <c r="R640" i="2"/>
  <c r="Q640" i="2"/>
  <c r="BO640" i="2" s="1"/>
  <c r="P640" i="2"/>
  <c r="O640" i="2"/>
  <c r="BN640" i="2" s="1"/>
  <c r="BP640" i="2" s="1"/>
  <c r="G640" i="2"/>
  <c r="J640" i="2" s="1"/>
  <c r="AH639" i="2"/>
  <c r="Z639" i="2"/>
  <c r="X639" i="2"/>
  <c r="T639" i="2"/>
  <c r="T637" i="2" s="1"/>
  <c r="R639" i="2"/>
  <c r="Q639" i="2"/>
  <c r="BO639" i="2" s="1"/>
  <c r="O639" i="2"/>
  <c r="BN639" i="2" s="1"/>
  <c r="BP639" i="2" s="1"/>
  <c r="J639" i="2"/>
  <c r="G639" i="2"/>
  <c r="I639" i="2" s="1"/>
  <c r="BO638" i="2"/>
  <c r="BN638" i="2"/>
  <c r="BP638" i="2" s="1"/>
  <c r="Z638" i="2"/>
  <c r="Y638" i="2"/>
  <c r="V638" i="2"/>
  <c r="BT638" i="2" s="1"/>
  <c r="T638" i="2"/>
  <c r="S638" i="2"/>
  <c r="R638" i="2"/>
  <c r="Q638" i="2"/>
  <c r="P638" i="2"/>
  <c r="O638" i="2"/>
  <c r="X638" i="2" s="1"/>
  <c r="E638" i="2"/>
  <c r="BM637" i="2"/>
  <c r="BL637" i="2"/>
  <c r="BK637" i="2"/>
  <c r="BJ637" i="2"/>
  <c r="BI637" i="2"/>
  <c r="BH637" i="2"/>
  <c r="BG637" i="2"/>
  <c r="BF637" i="2"/>
  <c r="BE637" i="2"/>
  <c r="BD637" i="2"/>
  <c r="BC637" i="2"/>
  <c r="BB637" i="2"/>
  <c r="BA637" i="2"/>
  <c r="AZ637" i="2"/>
  <c r="AY637" i="2"/>
  <c r="AX637" i="2"/>
  <c r="AW637" i="2"/>
  <c r="AV637" i="2"/>
  <c r="AU637" i="2"/>
  <c r="AT637" i="2"/>
  <c r="AS637" i="2"/>
  <c r="AR637" i="2"/>
  <c r="AQ637" i="2"/>
  <c r="AO637" i="2"/>
  <c r="AN637" i="2"/>
  <c r="AM637" i="2"/>
  <c r="AL637" i="2"/>
  <c r="AK637" i="2"/>
  <c r="AJ637" i="2"/>
  <c r="AI637" i="2"/>
  <c r="AG637" i="2"/>
  <c r="AF637" i="2"/>
  <c r="AE637" i="2"/>
  <c r="AD637" i="2"/>
  <c r="AC637" i="2"/>
  <c r="AB637" i="2"/>
  <c r="AA637" i="2"/>
  <c r="N637" i="2"/>
  <c r="M637" i="2"/>
  <c r="L637" i="2"/>
  <c r="H637" i="2"/>
  <c r="H631" i="2" s="1"/>
  <c r="F637" i="2"/>
  <c r="BT636" i="2"/>
  <c r="BT635" i="2" s="1"/>
  <c r="BN636" i="2"/>
  <c r="W636" i="2"/>
  <c r="V636" i="2"/>
  <c r="T636" i="2"/>
  <c r="S636" i="2"/>
  <c r="R636" i="2"/>
  <c r="Q636" i="2"/>
  <c r="P636" i="2"/>
  <c r="Y636" i="2" s="1"/>
  <c r="O636" i="2"/>
  <c r="U636" i="2" s="1"/>
  <c r="U635" i="2" s="1"/>
  <c r="G636" i="2"/>
  <c r="I636" i="2" s="1"/>
  <c r="BM635" i="2"/>
  <c r="BL635" i="2"/>
  <c r="BK635" i="2"/>
  <c r="BK631" i="2" s="1"/>
  <c r="BJ635" i="2"/>
  <c r="BI635" i="2"/>
  <c r="BH635" i="2"/>
  <c r="BG635" i="2"/>
  <c r="BF635" i="2"/>
  <c r="BE635" i="2"/>
  <c r="BE631" i="2" s="1"/>
  <c r="BD635" i="2"/>
  <c r="BC635" i="2"/>
  <c r="BB635" i="2"/>
  <c r="BA635" i="2"/>
  <c r="AZ635" i="2"/>
  <c r="AY635" i="2"/>
  <c r="AY631" i="2" s="1"/>
  <c r="AX635" i="2"/>
  <c r="AW635" i="2"/>
  <c r="AV635" i="2"/>
  <c r="AU635" i="2"/>
  <c r="AT635" i="2"/>
  <c r="AS635" i="2"/>
  <c r="AS631" i="2" s="1"/>
  <c r="AR635" i="2"/>
  <c r="AQ635" i="2"/>
  <c r="AP635" i="2"/>
  <c r="AO635" i="2"/>
  <c r="AN635" i="2"/>
  <c r="AM635" i="2"/>
  <c r="AL635" i="2"/>
  <c r="AK635" i="2"/>
  <c r="AJ635" i="2"/>
  <c r="AI635" i="2"/>
  <c r="AH635" i="2"/>
  <c r="AG635" i="2"/>
  <c r="AF635" i="2"/>
  <c r="AE635" i="2"/>
  <c r="AD635" i="2"/>
  <c r="AC635" i="2"/>
  <c r="AB635" i="2"/>
  <c r="AA635" i="2"/>
  <c r="Y635" i="2"/>
  <c r="V635" i="2"/>
  <c r="T635" i="2"/>
  <c r="S635" i="2"/>
  <c r="R635" i="2"/>
  <c r="P635" i="2"/>
  <c r="O635" i="2"/>
  <c r="X635" i="2" s="1"/>
  <c r="N635" i="2"/>
  <c r="M635" i="2"/>
  <c r="L635" i="2"/>
  <c r="K635" i="2"/>
  <c r="H635" i="2"/>
  <c r="G635" i="2"/>
  <c r="J635" i="2" s="1"/>
  <c r="F635" i="2"/>
  <c r="E635" i="2"/>
  <c r="BT634" i="2"/>
  <c r="AP634" i="2"/>
  <c r="AM634" i="2"/>
  <c r="AG634" i="2"/>
  <c r="Y634" i="2"/>
  <c r="W634" i="2"/>
  <c r="BR634" i="2" s="1"/>
  <c r="T634" i="2"/>
  <c r="T632" i="2" s="1"/>
  <c r="S634" i="2"/>
  <c r="V634" i="2" s="1"/>
  <c r="Q634" i="2"/>
  <c r="Z634" i="2" s="1"/>
  <c r="P634" i="2"/>
  <c r="K634" i="2"/>
  <c r="G634" i="2"/>
  <c r="J634" i="2" s="1"/>
  <c r="BT633" i="2"/>
  <c r="BT632" i="2" s="1"/>
  <c r="AP633" i="2"/>
  <c r="AP632" i="2" s="1"/>
  <c r="AM633" i="2"/>
  <c r="AM632" i="2" s="1"/>
  <c r="AJ633" i="2"/>
  <c r="AG633" i="2"/>
  <c r="Y633" i="2"/>
  <c r="T633" i="2"/>
  <c r="S633" i="2"/>
  <c r="V633" i="2" s="1"/>
  <c r="V632" i="2" s="1"/>
  <c r="Q633" i="2"/>
  <c r="P633" i="2"/>
  <c r="K633" i="2"/>
  <c r="G633" i="2"/>
  <c r="BM632" i="2"/>
  <c r="BL632" i="2"/>
  <c r="BK632" i="2"/>
  <c r="BJ632" i="2"/>
  <c r="BI632" i="2"/>
  <c r="BH632" i="2"/>
  <c r="BG632" i="2"/>
  <c r="BF632" i="2"/>
  <c r="BE632" i="2"/>
  <c r="BD632" i="2"/>
  <c r="BD631" i="2" s="1"/>
  <c r="BC632" i="2"/>
  <c r="BB632" i="2"/>
  <c r="BB631" i="2" s="1"/>
  <c r="BA632" i="2"/>
  <c r="AZ632" i="2"/>
  <c r="AZ631" i="2" s="1"/>
  <c r="AY632" i="2"/>
  <c r="AX632" i="2"/>
  <c r="AW632" i="2"/>
  <c r="AV632" i="2"/>
  <c r="AV631" i="2" s="1"/>
  <c r="AU632" i="2"/>
  <c r="AT632" i="2"/>
  <c r="AS632" i="2"/>
  <c r="AR632" i="2"/>
  <c r="AQ632" i="2"/>
  <c r="AO632" i="2"/>
  <c r="AN632" i="2"/>
  <c r="AN631" i="2" s="1"/>
  <c r="AL632" i="2"/>
  <c r="AK632" i="2"/>
  <c r="AJ632" i="2"/>
  <c r="AI632" i="2"/>
  <c r="AH632" i="2"/>
  <c r="AF632" i="2"/>
  <c r="AE632" i="2"/>
  <c r="AD632" i="2"/>
  <c r="AD631" i="2" s="1"/>
  <c r="AC632" i="2"/>
  <c r="AB632" i="2"/>
  <c r="AA632" i="2"/>
  <c r="Y632" i="2"/>
  <c r="S632" i="2"/>
  <c r="Q632" i="2"/>
  <c r="Z632" i="2" s="1"/>
  <c r="P632" i="2"/>
  <c r="N632" i="2"/>
  <c r="M632" i="2"/>
  <c r="L632" i="2"/>
  <c r="L631" i="2" s="1"/>
  <c r="H632" i="2"/>
  <c r="F632" i="2"/>
  <c r="E632" i="2"/>
  <c r="AL631" i="2"/>
  <c r="BO630" i="2"/>
  <c r="Y630" i="2"/>
  <c r="T630" i="2"/>
  <c r="S630" i="2"/>
  <c r="V630" i="2" s="1"/>
  <c r="BT630" i="2" s="1"/>
  <c r="R630" i="2"/>
  <c r="Q630" i="2"/>
  <c r="W630" i="2" s="1"/>
  <c r="BR630" i="2" s="1"/>
  <c r="P630" i="2"/>
  <c r="O630" i="2"/>
  <c r="X630" i="2" s="1"/>
  <c r="J630" i="2"/>
  <c r="I630" i="2"/>
  <c r="G630" i="2"/>
  <c r="BO629" i="2"/>
  <c r="Z629" i="2"/>
  <c r="X629" i="2"/>
  <c r="V629" i="2"/>
  <c r="BT629" i="2" s="1"/>
  <c r="T629" i="2"/>
  <c r="T627" i="2" s="1"/>
  <c r="T624" i="2" s="1"/>
  <c r="S629" i="2"/>
  <c r="R629" i="2"/>
  <c r="Q629" i="2"/>
  <c r="W629" i="2" s="1"/>
  <c r="BR629" i="2" s="1"/>
  <c r="P629" i="2"/>
  <c r="Y629" i="2" s="1"/>
  <c r="O629" i="2"/>
  <c r="BN629" i="2" s="1"/>
  <c r="BP629" i="2" s="1"/>
  <c r="J629" i="2"/>
  <c r="G629" i="2"/>
  <c r="I629" i="2" s="1"/>
  <c r="BN628" i="2"/>
  <c r="Y628" i="2"/>
  <c r="T628" i="2"/>
  <c r="S628" i="2"/>
  <c r="V628" i="2" s="1"/>
  <c r="V627" i="2" s="1"/>
  <c r="R628" i="2"/>
  <c r="R627" i="2" s="1"/>
  <c r="Q628" i="2"/>
  <c r="Z628" i="2" s="1"/>
  <c r="P628" i="2"/>
  <c r="O628" i="2"/>
  <c r="G628" i="2"/>
  <c r="J628" i="2" s="1"/>
  <c r="BM627" i="2"/>
  <c r="BL627" i="2"/>
  <c r="BK627" i="2"/>
  <c r="BJ627" i="2"/>
  <c r="BI627" i="2"/>
  <c r="BH627" i="2"/>
  <c r="BG627" i="2"/>
  <c r="BF627" i="2"/>
  <c r="BE627" i="2"/>
  <c r="BD627" i="2"/>
  <c r="BC627" i="2"/>
  <c r="BB627" i="2"/>
  <c r="BA627" i="2"/>
  <c r="AZ627" i="2"/>
  <c r="AY627" i="2"/>
  <c r="AX627" i="2"/>
  <c r="AW627" i="2"/>
  <c r="AV627" i="2"/>
  <c r="AU627" i="2"/>
  <c r="AT627" i="2"/>
  <c r="AS627" i="2"/>
  <c r="AR627" i="2"/>
  <c r="AQ627" i="2"/>
  <c r="AP627" i="2"/>
  <c r="AO627" i="2"/>
  <c r="AN627" i="2"/>
  <c r="AM627" i="2"/>
  <c r="AL627" i="2"/>
  <c r="AK627" i="2"/>
  <c r="AJ627" i="2"/>
  <c r="AI627" i="2"/>
  <c r="AH627" i="2"/>
  <c r="AG627" i="2"/>
  <c r="AF627" i="2"/>
  <c r="AE627" i="2"/>
  <c r="AD627" i="2"/>
  <c r="AC627" i="2"/>
  <c r="AB627" i="2"/>
  <c r="AA627" i="2"/>
  <c r="S627" i="2"/>
  <c r="N627" i="2"/>
  <c r="M627" i="2"/>
  <c r="L627" i="2"/>
  <c r="K627" i="2"/>
  <c r="H627" i="2"/>
  <c r="G627" i="2"/>
  <c r="F627" i="2"/>
  <c r="E627" i="2"/>
  <c r="BT626" i="2"/>
  <c r="BT625" i="2" s="1"/>
  <c r="Y626" i="2"/>
  <c r="T626" i="2"/>
  <c r="S626" i="2"/>
  <c r="V626" i="2" s="1"/>
  <c r="V625" i="2" s="1"/>
  <c r="V624" i="2" s="1"/>
  <c r="R626" i="2"/>
  <c r="R625" i="2" s="1"/>
  <c r="R624" i="2" s="1"/>
  <c r="Q626" i="2"/>
  <c r="Z626" i="2" s="1"/>
  <c r="P626" i="2"/>
  <c r="O626" i="2"/>
  <c r="BN626" i="2" s="1"/>
  <c r="G626" i="2"/>
  <c r="J626" i="2" s="1"/>
  <c r="BM625" i="2"/>
  <c r="BM624" i="2" s="1"/>
  <c r="BL625" i="2"/>
  <c r="BL624" i="2" s="1"/>
  <c r="BK625" i="2"/>
  <c r="BK624" i="2" s="1"/>
  <c r="BJ625" i="2"/>
  <c r="BI625" i="2"/>
  <c r="BI624" i="2" s="1"/>
  <c r="BH625" i="2"/>
  <c r="BG625" i="2"/>
  <c r="BG624" i="2" s="1"/>
  <c r="BF625" i="2"/>
  <c r="BF624" i="2" s="1"/>
  <c r="BE625" i="2"/>
  <c r="BE624" i="2" s="1"/>
  <c r="BD625" i="2"/>
  <c r="BC625" i="2"/>
  <c r="BC624" i="2" s="1"/>
  <c r="BB625" i="2"/>
  <c r="BA625" i="2"/>
  <c r="BA624" i="2" s="1"/>
  <c r="AZ625" i="2"/>
  <c r="AZ624" i="2" s="1"/>
  <c r="AY625" i="2"/>
  <c r="AY624" i="2" s="1"/>
  <c r="AX625" i="2"/>
  <c r="AW625" i="2"/>
  <c r="AW624" i="2" s="1"/>
  <c r="AV625" i="2"/>
  <c r="AU625" i="2"/>
  <c r="AU624" i="2" s="1"/>
  <c r="AT625" i="2"/>
  <c r="AT624" i="2" s="1"/>
  <c r="AS625" i="2"/>
  <c r="AS624" i="2" s="1"/>
  <c r="AR625" i="2"/>
  <c r="AQ625" i="2"/>
  <c r="AQ624" i="2" s="1"/>
  <c r="AP625" i="2"/>
  <c r="AO625" i="2"/>
  <c r="AO624" i="2" s="1"/>
  <c r="AN625" i="2"/>
  <c r="AN624" i="2" s="1"/>
  <c r="AM625" i="2"/>
  <c r="AM624" i="2" s="1"/>
  <c r="AL625" i="2"/>
  <c r="AK625" i="2"/>
  <c r="AK624" i="2" s="1"/>
  <c r="AJ625" i="2"/>
  <c r="AI625" i="2"/>
  <c r="AI624" i="2" s="1"/>
  <c r="AH625" i="2"/>
  <c r="AH624" i="2" s="1"/>
  <c r="AG625" i="2"/>
  <c r="AG624" i="2" s="1"/>
  <c r="AF625" i="2"/>
  <c r="AE625" i="2"/>
  <c r="AE624" i="2" s="1"/>
  <c r="AD625" i="2"/>
  <c r="AC625" i="2"/>
  <c r="AC624" i="2" s="1"/>
  <c r="AB625" i="2"/>
  <c r="AB624" i="2" s="1"/>
  <c r="AA625" i="2"/>
  <c r="AA624" i="2" s="1"/>
  <c r="Y625" i="2"/>
  <c r="T625" i="2"/>
  <c r="S625" i="2"/>
  <c r="S624" i="2" s="1"/>
  <c r="P625" i="2"/>
  <c r="N625" i="2"/>
  <c r="M625" i="2"/>
  <c r="L625" i="2"/>
  <c r="K625" i="2"/>
  <c r="K624" i="2" s="1"/>
  <c r="H625" i="2"/>
  <c r="G625" i="2"/>
  <c r="F625" i="2"/>
  <c r="E625" i="2"/>
  <c r="E624" i="2" s="1"/>
  <c r="BJ624" i="2"/>
  <c r="BH624" i="2"/>
  <c r="BD624" i="2"/>
  <c r="BB624" i="2"/>
  <c r="AX624" i="2"/>
  <c r="AV624" i="2"/>
  <c r="AR624" i="2"/>
  <c r="AP624" i="2"/>
  <c r="AL624" i="2"/>
  <c r="AJ624" i="2"/>
  <c r="AF624" i="2"/>
  <c r="AD624" i="2"/>
  <c r="N624" i="2"/>
  <c r="L624" i="2"/>
  <c r="H624" i="2"/>
  <c r="F624" i="2"/>
  <c r="BO623" i="2"/>
  <c r="Z623" i="2"/>
  <c r="X623" i="2"/>
  <c r="V623" i="2"/>
  <c r="BT623" i="2" s="1"/>
  <c r="T623" i="2"/>
  <c r="S623" i="2"/>
  <c r="R623" i="2"/>
  <c r="Q623" i="2"/>
  <c r="W623" i="2" s="1"/>
  <c r="BR623" i="2" s="1"/>
  <c r="P623" i="2"/>
  <c r="Y623" i="2" s="1"/>
  <c r="O623" i="2"/>
  <c r="BN623" i="2" s="1"/>
  <c r="BP623" i="2" s="1"/>
  <c r="J623" i="2"/>
  <c r="G623" i="2"/>
  <c r="I623" i="2" s="1"/>
  <c r="BT622" i="2"/>
  <c r="BO622" i="2"/>
  <c r="BN622" i="2"/>
  <c r="BP622" i="2" s="1"/>
  <c r="V622" i="2"/>
  <c r="T622" i="2"/>
  <c r="S622" i="2"/>
  <c r="R622" i="2"/>
  <c r="Q622" i="2"/>
  <c r="W622" i="2" s="1"/>
  <c r="BR622" i="2" s="1"/>
  <c r="P622" i="2"/>
  <c r="O622" i="2"/>
  <c r="U622" i="2" s="1"/>
  <c r="BQ622" i="2" s="1"/>
  <c r="G622" i="2"/>
  <c r="BR621" i="2"/>
  <c r="BO621" i="2"/>
  <c r="BN621" i="2"/>
  <c r="BP621" i="2" s="1"/>
  <c r="V621" i="2"/>
  <c r="BT621" i="2" s="1"/>
  <c r="T621" i="2"/>
  <c r="S621" i="2"/>
  <c r="R621" i="2"/>
  <c r="R619" i="2" s="1"/>
  <c r="R618" i="2" s="1"/>
  <c r="Q621" i="2"/>
  <c r="W621" i="2" s="1"/>
  <c r="P621" i="2"/>
  <c r="P619" i="2" s="1"/>
  <c r="O621" i="2"/>
  <c r="U621" i="2" s="1"/>
  <c r="BQ621" i="2" s="1"/>
  <c r="G621" i="2"/>
  <c r="J621" i="2" s="1"/>
  <c r="Y620" i="2"/>
  <c r="W620" i="2"/>
  <c r="T620" i="2"/>
  <c r="T619" i="2" s="1"/>
  <c r="S620" i="2"/>
  <c r="R620" i="2"/>
  <c r="Q620" i="2"/>
  <c r="P620" i="2"/>
  <c r="O620" i="2"/>
  <c r="BN620" i="2" s="1"/>
  <c r="J620" i="2"/>
  <c r="I620" i="2"/>
  <c r="G620" i="2"/>
  <c r="BM619" i="2"/>
  <c r="BM618" i="2" s="1"/>
  <c r="BL619" i="2"/>
  <c r="BK619" i="2"/>
  <c r="BK618" i="2" s="1"/>
  <c r="BJ619" i="2"/>
  <c r="BI619" i="2"/>
  <c r="BI618" i="2" s="1"/>
  <c r="BH619" i="2"/>
  <c r="BG619" i="2"/>
  <c r="BG618" i="2" s="1"/>
  <c r="BF619" i="2"/>
  <c r="BE619" i="2"/>
  <c r="BE618" i="2" s="1"/>
  <c r="BD619" i="2"/>
  <c r="BC619" i="2"/>
  <c r="BC618" i="2" s="1"/>
  <c r="BB619" i="2"/>
  <c r="BA619" i="2"/>
  <c r="BA618" i="2" s="1"/>
  <c r="AZ619" i="2"/>
  <c r="AY619" i="2"/>
  <c r="AY618" i="2" s="1"/>
  <c r="AX619" i="2"/>
  <c r="AW619" i="2"/>
  <c r="AW618" i="2" s="1"/>
  <c r="AV619" i="2"/>
  <c r="AU619" i="2"/>
  <c r="AU618" i="2" s="1"/>
  <c r="AT619" i="2"/>
  <c r="AS619" i="2"/>
  <c r="AS618" i="2" s="1"/>
  <c r="AR619" i="2"/>
  <c r="AQ619" i="2"/>
  <c r="AQ618" i="2" s="1"/>
  <c r="AP619" i="2"/>
  <c r="AO619" i="2"/>
  <c r="AO618" i="2" s="1"/>
  <c r="AN619" i="2"/>
  <c r="AM619" i="2"/>
  <c r="AM618" i="2" s="1"/>
  <c r="AL619" i="2"/>
  <c r="AK619" i="2"/>
  <c r="AK618" i="2" s="1"/>
  <c r="AJ619" i="2"/>
  <c r="AI619" i="2"/>
  <c r="AI618" i="2" s="1"/>
  <c r="AH619" i="2"/>
  <c r="AG619" i="2"/>
  <c r="AG618" i="2" s="1"/>
  <c r="AF619" i="2"/>
  <c r="AE619" i="2"/>
  <c r="AE618" i="2" s="1"/>
  <c r="AD619" i="2"/>
  <c r="AC619" i="2"/>
  <c r="AC618" i="2" s="1"/>
  <c r="AB619" i="2"/>
  <c r="AA619" i="2"/>
  <c r="AA618" i="2" s="1"/>
  <c r="Q619" i="2"/>
  <c r="O619" i="2"/>
  <c r="N619" i="2"/>
  <c r="M619" i="2"/>
  <c r="M618" i="2" s="1"/>
  <c r="L619" i="2"/>
  <c r="K619" i="2"/>
  <c r="K618" i="2" s="1"/>
  <c r="H619" i="2"/>
  <c r="F619" i="2"/>
  <c r="E619" i="2"/>
  <c r="E618" i="2" s="1"/>
  <c r="BL618" i="2"/>
  <c r="BL605" i="2" s="1"/>
  <c r="BJ618" i="2"/>
  <c r="BH618" i="2"/>
  <c r="BF618" i="2"/>
  <c r="BD618" i="2"/>
  <c r="BB618" i="2"/>
  <c r="AZ618" i="2"/>
  <c r="AX618" i="2"/>
  <c r="AV618" i="2"/>
  <c r="AT618" i="2"/>
  <c r="AT605" i="2" s="1"/>
  <c r="AR618" i="2"/>
  <c r="AP618" i="2"/>
  <c r="AN618" i="2"/>
  <c r="AL618" i="2"/>
  <c r="AJ618" i="2"/>
  <c r="AH618" i="2"/>
  <c r="AF618" i="2"/>
  <c r="AD618" i="2"/>
  <c r="AB618" i="2"/>
  <c r="AB605" i="2" s="1"/>
  <c r="T618" i="2"/>
  <c r="N618" i="2"/>
  <c r="L618" i="2"/>
  <c r="H618" i="2"/>
  <c r="F618" i="2"/>
  <c r="BU617" i="2"/>
  <c r="BO617" i="2"/>
  <c r="Z617" i="2"/>
  <c r="X617" i="2"/>
  <c r="V617" i="2"/>
  <c r="BT617" i="2" s="1"/>
  <c r="T617" i="2"/>
  <c r="S617" i="2"/>
  <c r="R617" i="2"/>
  <c r="Q617" i="2"/>
  <c r="W617" i="2" s="1"/>
  <c r="BR617" i="2" s="1"/>
  <c r="P617" i="2"/>
  <c r="O617" i="2"/>
  <c r="BN617" i="2" s="1"/>
  <c r="BP617" i="2" s="1"/>
  <c r="G617" i="2"/>
  <c r="AP616" i="2"/>
  <c r="AM616" i="2"/>
  <c r="Y616" i="2"/>
  <c r="T616" i="2"/>
  <c r="S616" i="2"/>
  <c r="Q616" i="2"/>
  <c r="BO616" i="2" s="1"/>
  <c r="BO615" i="2" s="1"/>
  <c r="P616" i="2"/>
  <c r="O616" i="2"/>
  <c r="K616" i="2"/>
  <c r="G616" i="2"/>
  <c r="I616" i="2" s="1"/>
  <c r="BM615" i="2"/>
  <c r="BL615" i="2"/>
  <c r="BK615" i="2"/>
  <c r="BJ615" i="2"/>
  <c r="BI615" i="2"/>
  <c r="BH615" i="2"/>
  <c r="BG615" i="2"/>
  <c r="BF615" i="2"/>
  <c r="BE615" i="2"/>
  <c r="BD615" i="2"/>
  <c r="BC615" i="2"/>
  <c r="BB615" i="2"/>
  <c r="BA615" i="2"/>
  <c r="AZ615" i="2"/>
  <c r="AY615" i="2"/>
  <c r="AX615" i="2"/>
  <c r="AW615" i="2"/>
  <c r="AV615" i="2"/>
  <c r="AU615" i="2"/>
  <c r="AT615" i="2"/>
  <c r="AS615" i="2"/>
  <c r="AR615" i="2"/>
  <c r="AQ615" i="2"/>
  <c r="AP615" i="2"/>
  <c r="AO615" i="2"/>
  <c r="AN615" i="2"/>
  <c r="AL615" i="2"/>
  <c r="AK615" i="2"/>
  <c r="AJ615" i="2"/>
  <c r="AI615" i="2"/>
  <c r="AH615" i="2"/>
  <c r="AG615" i="2"/>
  <c r="AF615" i="2"/>
  <c r="AE615" i="2"/>
  <c r="AD615" i="2"/>
  <c r="AC615" i="2"/>
  <c r="AB615" i="2"/>
  <c r="AA615" i="2"/>
  <c r="T615" i="2"/>
  <c r="N615" i="2"/>
  <c r="M615" i="2"/>
  <c r="L615" i="2"/>
  <c r="K615" i="2"/>
  <c r="H615" i="2"/>
  <c r="F615" i="2"/>
  <c r="E615" i="2"/>
  <c r="BO614" i="2"/>
  <c r="Z614" i="2"/>
  <c r="X614" i="2"/>
  <c r="V614" i="2"/>
  <c r="BT614" i="2" s="1"/>
  <c r="T614" i="2"/>
  <c r="S614" i="2"/>
  <c r="R614" i="2"/>
  <c r="Q614" i="2"/>
  <c r="W614" i="2" s="1"/>
  <c r="BR614" i="2" s="1"/>
  <c r="P614" i="2"/>
  <c r="Y614" i="2" s="1"/>
  <c r="O614" i="2"/>
  <c r="BN614" i="2" s="1"/>
  <c r="J614" i="2"/>
  <c r="G614" i="2"/>
  <c r="I614" i="2" s="1"/>
  <c r="BT613" i="2"/>
  <c r="Y613" i="2"/>
  <c r="W613" i="2"/>
  <c r="BR613" i="2" s="1"/>
  <c r="T613" i="2"/>
  <c r="S613" i="2"/>
  <c r="V613" i="2" s="1"/>
  <c r="R613" i="2"/>
  <c r="Q613" i="2"/>
  <c r="P613" i="2"/>
  <c r="O613" i="2"/>
  <c r="X613" i="2" s="1"/>
  <c r="I613" i="2"/>
  <c r="G613" i="2"/>
  <c r="J613" i="2" s="1"/>
  <c r="BO612" i="2"/>
  <c r="Z612" i="2"/>
  <c r="X612" i="2"/>
  <c r="V612" i="2"/>
  <c r="BT612" i="2" s="1"/>
  <c r="T612" i="2"/>
  <c r="S612" i="2"/>
  <c r="R612" i="2"/>
  <c r="Q612" i="2"/>
  <c r="W612" i="2" s="1"/>
  <c r="BR612" i="2" s="1"/>
  <c r="P612" i="2"/>
  <c r="Y612" i="2" s="1"/>
  <c r="O612" i="2"/>
  <c r="BN612" i="2" s="1"/>
  <c r="G612" i="2"/>
  <c r="G609" i="2" s="1"/>
  <c r="Y611" i="2"/>
  <c r="T611" i="2"/>
  <c r="S611" i="2"/>
  <c r="V611" i="2" s="1"/>
  <c r="BT611" i="2" s="1"/>
  <c r="R611" i="2"/>
  <c r="Q611" i="2"/>
  <c r="P611" i="2"/>
  <c r="O611" i="2"/>
  <c r="BN611" i="2" s="1"/>
  <c r="J611" i="2"/>
  <c r="I611" i="2"/>
  <c r="G611" i="2"/>
  <c r="BO610" i="2"/>
  <c r="Z610" i="2"/>
  <c r="X610" i="2"/>
  <c r="V610" i="2"/>
  <c r="BT610" i="2" s="1"/>
  <c r="BT609" i="2" s="1"/>
  <c r="T610" i="2"/>
  <c r="S610" i="2"/>
  <c r="R610" i="2"/>
  <c r="Q610" i="2"/>
  <c r="W610" i="2" s="1"/>
  <c r="P610" i="2"/>
  <c r="Y610" i="2" s="1"/>
  <c r="O610" i="2"/>
  <c r="O609" i="2" s="1"/>
  <c r="X609" i="2" s="1"/>
  <c r="J610" i="2"/>
  <c r="G610" i="2"/>
  <c r="I610" i="2" s="1"/>
  <c r="BO609" i="2"/>
  <c r="BM609" i="2"/>
  <c r="BL609" i="2"/>
  <c r="BK609" i="2"/>
  <c r="BJ609" i="2"/>
  <c r="BI609" i="2"/>
  <c r="BH609" i="2"/>
  <c r="BH605" i="2" s="1"/>
  <c r="BG609" i="2"/>
  <c r="BF609" i="2"/>
  <c r="BE609" i="2"/>
  <c r="BD609" i="2"/>
  <c r="BC609" i="2"/>
  <c r="BB609" i="2"/>
  <c r="BB605" i="2" s="1"/>
  <c r="BA609" i="2"/>
  <c r="AZ609" i="2"/>
  <c r="AY609" i="2"/>
  <c r="AX609" i="2"/>
  <c r="AX605" i="2" s="1"/>
  <c r="AW609" i="2"/>
  <c r="AV609" i="2"/>
  <c r="AV605" i="2" s="1"/>
  <c r="AU609" i="2"/>
  <c r="AT609" i="2"/>
  <c r="AS609" i="2"/>
  <c r="AR609" i="2"/>
  <c r="AR605" i="2" s="1"/>
  <c r="AQ609" i="2"/>
  <c r="AP609" i="2"/>
  <c r="AP605" i="2" s="1"/>
  <c r="AO609" i="2"/>
  <c r="AN609" i="2"/>
  <c r="AM609" i="2"/>
  <c r="AL609" i="2"/>
  <c r="AK609" i="2"/>
  <c r="AJ609" i="2"/>
  <c r="AI609" i="2"/>
  <c r="AH609" i="2"/>
  <c r="AG609" i="2"/>
  <c r="AF609" i="2"/>
  <c r="AF605" i="2" s="1"/>
  <c r="AE609" i="2"/>
  <c r="AD609" i="2"/>
  <c r="AC609" i="2"/>
  <c r="AB609" i="2"/>
  <c r="AA609" i="2"/>
  <c r="V609" i="2"/>
  <c r="T609" i="2"/>
  <c r="R609" i="2"/>
  <c r="P609" i="2"/>
  <c r="Y609" i="2" s="1"/>
  <c r="N609" i="2"/>
  <c r="M609" i="2"/>
  <c r="M605" i="2" s="1"/>
  <c r="L609" i="2"/>
  <c r="K609" i="2"/>
  <c r="H609" i="2"/>
  <c r="H605" i="2" s="1"/>
  <c r="F609" i="2"/>
  <c r="F605" i="2" s="1"/>
  <c r="E609" i="2"/>
  <c r="BT608" i="2"/>
  <c r="BO608" i="2"/>
  <c r="Z608" i="2"/>
  <c r="V608" i="2"/>
  <c r="T608" i="2"/>
  <c r="S608" i="2"/>
  <c r="R608" i="2"/>
  <c r="Q608" i="2"/>
  <c r="W608" i="2" s="1"/>
  <c r="BR608" i="2" s="1"/>
  <c r="P608" i="2"/>
  <c r="Y608" i="2" s="1"/>
  <c r="O608" i="2"/>
  <c r="G608" i="2"/>
  <c r="I608" i="2" s="1"/>
  <c r="V607" i="2"/>
  <c r="T607" i="2"/>
  <c r="S607" i="2"/>
  <c r="R607" i="2"/>
  <c r="R606" i="2" s="1"/>
  <c r="Q607" i="2"/>
  <c r="Z607" i="2" s="1"/>
  <c r="P607" i="2"/>
  <c r="O607" i="2"/>
  <c r="X607" i="2" s="1"/>
  <c r="I607" i="2"/>
  <c r="G607" i="2"/>
  <c r="BM606" i="2"/>
  <c r="BL606" i="2"/>
  <c r="BK606" i="2"/>
  <c r="BK605" i="2" s="1"/>
  <c r="BJ606" i="2"/>
  <c r="BI606" i="2"/>
  <c r="BH606" i="2"/>
  <c r="BG606" i="2"/>
  <c r="BF606" i="2"/>
  <c r="BE606" i="2"/>
  <c r="BE605" i="2" s="1"/>
  <c r="BD606" i="2"/>
  <c r="BC606" i="2"/>
  <c r="BC605" i="2" s="1"/>
  <c r="BB606" i="2"/>
  <c r="BA606" i="2"/>
  <c r="AZ606" i="2"/>
  <c r="AY606" i="2"/>
  <c r="AY605" i="2" s="1"/>
  <c r="AX606" i="2"/>
  <c r="AW606" i="2"/>
  <c r="AV606" i="2"/>
  <c r="AU606" i="2"/>
  <c r="AT606" i="2"/>
  <c r="AS606" i="2"/>
  <c r="AS605" i="2" s="1"/>
  <c r="AR606" i="2"/>
  <c r="AQ606" i="2"/>
  <c r="AP606" i="2"/>
  <c r="AO606" i="2"/>
  <c r="AN606" i="2"/>
  <c r="AM606" i="2"/>
  <c r="AL606" i="2"/>
  <c r="AK606" i="2"/>
  <c r="AK605" i="2" s="1"/>
  <c r="AJ606" i="2"/>
  <c r="AI606" i="2"/>
  <c r="AH606" i="2"/>
  <c r="AG606" i="2"/>
  <c r="AG605" i="2" s="1"/>
  <c r="AF606" i="2"/>
  <c r="AE606" i="2"/>
  <c r="AD606" i="2"/>
  <c r="AC606" i="2"/>
  <c r="AB606" i="2"/>
  <c r="AA606" i="2"/>
  <c r="AA605" i="2" s="1"/>
  <c r="T606" i="2"/>
  <c r="T605" i="2" s="1"/>
  <c r="S606" i="2"/>
  <c r="N606" i="2"/>
  <c r="M606" i="2"/>
  <c r="L606" i="2"/>
  <c r="K606" i="2"/>
  <c r="K605" i="2" s="1"/>
  <c r="H606" i="2"/>
  <c r="G606" i="2"/>
  <c r="F606" i="2"/>
  <c r="E606" i="2"/>
  <c r="E605" i="2" s="1"/>
  <c r="BJ605" i="2"/>
  <c r="BI605" i="2"/>
  <c r="BF605" i="2"/>
  <c r="BD605" i="2"/>
  <c r="AZ605" i="2"/>
  <c r="AW605" i="2"/>
  <c r="AQ605" i="2"/>
  <c r="AN605" i="2"/>
  <c r="AL605" i="2"/>
  <c r="AH605" i="2"/>
  <c r="AE605" i="2"/>
  <c r="L605" i="2"/>
  <c r="BO604" i="2"/>
  <c r="BN604" i="2"/>
  <c r="BP604" i="2" s="1"/>
  <c r="Z604" i="2"/>
  <c r="V604" i="2"/>
  <c r="BT604" i="2" s="1"/>
  <c r="T604" i="2"/>
  <c r="S604" i="2"/>
  <c r="R604" i="2"/>
  <c r="Q604" i="2"/>
  <c r="W604" i="2" s="1"/>
  <c r="BR604" i="2" s="1"/>
  <c r="P604" i="2"/>
  <c r="Y604" i="2" s="1"/>
  <c r="O604" i="2"/>
  <c r="X604" i="2" s="1"/>
  <c r="G604" i="2"/>
  <c r="BO603" i="2"/>
  <c r="BN603" i="2"/>
  <c r="T603" i="2"/>
  <c r="S603" i="2"/>
  <c r="V603" i="2" s="1"/>
  <c r="BT603" i="2" s="1"/>
  <c r="R603" i="2"/>
  <c r="Q603" i="2"/>
  <c r="Z603" i="2" s="1"/>
  <c r="P603" i="2"/>
  <c r="Y603" i="2" s="1"/>
  <c r="O603" i="2"/>
  <c r="X603" i="2" s="1"/>
  <c r="I603" i="2"/>
  <c r="G603" i="2"/>
  <c r="J603" i="2" s="1"/>
  <c r="X602" i="2"/>
  <c r="V602" i="2"/>
  <c r="BT602" i="2" s="1"/>
  <c r="T602" i="2"/>
  <c r="S602" i="2"/>
  <c r="R602" i="2"/>
  <c r="Q602" i="2"/>
  <c r="BO602" i="2" s="1"/>
  <c r="P602" i="2"/>
  <c r="Y602" i="2" s="1"/>
  <c r="O602" i="2"/>
  <c r="BN602" i="2" s="1"/>
  <c r="BP602" i="2" s="1"/>
  <c r="J602" i="2"/>
  <c r="G602" i="2"/>
  <c r="I602" i="2" s="1"/>
  <c r="Y601" i="2"/>
  <c r="W601" i="2"/>
  <c r="BR601" i="2" s="1"/>
  <c r="T601" i="2"/>
  <c r="S601" i="2"/>
  <c r="V601" i="2" s="1"/>
  <c r="BT601" i="2" s="1"/>
  <c r="R601" i="2"/>
  <c r="Q601" i="2"/>
  <c r="P601" i="2"/>
  <c r="O601" i="2"/>
  <c r="U601" i="2" s="1"/>
  <c r="BQ601" i="2" s="1"/>
  <c r="G601" i="2"/>
  <c r="BR600" i="2"/>
  <c r="BO600" i="2"/>
  <c r="Z600" i="2"/>
  <c r="X600" i="2"/>
  <c r="V600" i="2"/>
  <c r="BT600" i="2" s="1"/>
  <c r="T600" i="2"/>
  <c r="S600" i="2"/>
  <c r="R600" i="2"/>
  <c r="Q600" i="2"/>
  <c r="W600" i="2" s="1"/>
  <c r="P600" i="2"/>
  <c r="Y600" i="2" s="1"/>
  <c r="O600" i="2"/>
  <c r="BN600" i="2" s="1"/>
  <c r="BP600" i="2" s="1"/>
  <c r="G600" i="2"/>
  <c r="J600" i="2" s="1"/>
  <c r="BT599" i="2"/>
  <c r="BN599" i="2"/>
  <c r="Y599" i="2"/>
  <c r="T599" i="2"/>
  <c r="S599" i="2"/>
  <c r="V599" i="2" s="1"/>
  <c r="R599" i="2"/>
  <c r="Q599" i="2"/>
  <c r="P599" i="2"/>
  <c r="O599" i="2"/>
  <c r="X599" i="2" s="1"/>
  <c r="J599" i="2"/>
  <c r="I599" i="2"/>
  <c r="G599" i="2"/>
  <c r="BO598" i="2"/>
  <c r="BN598" i="2"/>
  <c r="BP598" i="2" s="1"/>
  <c r="BU598" i="2" s="1"/>
  <c r="Z598" i="2"/>
  <c r="V598" i="2"/>
  <c r="BT598" i="2" s="1"/>
  <c r="T598" i="2"/>
  <c r="S598" i="2"/>
  <c r="R598" i="2"/>
  <c r="Q598" i="2"/>
  <c r="W598" i="2" s="1"/>
  <c r="BR598" i="2" s="1"/>
  <c r="P598" i="2"/>
  <c r="Y598" i="2" s="1"/>
  <c r="O598" i="2"/>
  <c r="X598" i="2" s="1"/>
  <c r="G598" i="2"/>
  <c r="BO597" i="2"/>
  <c r="BN597" i="2"/>
  <c r="T597" i="2"/>
  <c r="S597" i="2"/>
  <c r="V597" i="2" s="1"/>
  <c r="R597" i="2"/>
  <c r="Q597" i="2"/>
  <c r="Z597" i="2" s="1"/>
  <c r="P597" i="2"/>
  <c r="O597" i="2"/>
  <c r="X597" i="2" s="1"/>
  <c r="I597" i="2"/>
  <c r="G597" i="2"/>
  <c r="J597" i="2" s="1"/>
  <c r="BM596" i="2"/>
  <c r="BL596" i="2"/>
  <c r="BK596" i="2"/>
  <c r="BJ596" i="2"/>
  <c r="BJ580" i="2" s="1"/>
  <c r="BI596" i="2"/>
  <c r="BH596" i="2"/>
  <c r="BG596" i="2"/>
  <c r="BF596" i="2"/>
  <c r="BE596" i="2"/>
  <c r="BD596" i="2"/>
  <c r="BD580" i="2" s="1"/>
  <c r="BC596" i="2"/>
  <c r="BB596" i="2"/>
  <c r="BA596" i="2"/>
  <c r="AZ596" i="2"/>
  <c r="AY596" i="2"/>
  <c r="AX596" i="2"/>
  <c r="AW596" i="2"/>
  <c r="AV596" i="2"/>
  <c r="AU596" i="2"/>
  <c r="AT596" i="2"/>
  <c r="AS596" i="2"/>
  <c r="AR596" i="2"/>
  <c r="AR580" i="2" s="1"/>
  <c r="AQ596" i="2"/>
  <c r="AP596" i="2"/>
  <c r="AO596" i="2"/>
  <c r="AN596" i="2"/>
  <c r="AM596" i="2"/>
  <c r="AL596" i="2"/>
  <c r="AL580" i="2" s="1"/>
  <c r="AK596" i="2"/>
  <c r="AJ596" i="2"/>
  <c r="AI596" i="2"/>
  <c r="AH596" i="2"/>
  <c r="AG596" i="2"/>
  <c r="AF596" i="2"/>
  <c r="AF580" i="2" s="1"/>
  <c r="AE596" i="2"/>
  <c r="AD596" i="2"/>
  <c r="AC596" i="2"/>
  <c r="AB596" i="2"/>
  <c r="AA596" i="2"/>
  <c r="T596" i="2"/>
  <c r="Q596" i="2"/>
  <c r="Z596" i="2" s="1"/>
  <c r="O596" i="2"/>
  <c r="X596" i="2" s="1"/>
  <c r="N596" i="2"/>
  <c r="M596" i="2"/>
  <c r="L596" i="2"/>
  <c r="K596" i="2"/>
  <c r="H596" i="2"/>
  <c r="F596" i="2"/>
  <c r="E596" i="2"/>
  <c r="Y595" i="2"/>
  <c r="T595" i="2"/>
  <c r="S595" i="2"/>
  <c r="V595" i="2" s="1"/>
  <c r="R595" i="2"/>
  <c r="Q595" i="2"/>
  <c r="Z595" i="2" s="1"/>
  <c r="P595" i="2"/>
  <c r="O595" i="2"/>
  <c r="X595" i="2" s="1"/>
  <c r="I595" i="2"/>
  <c r="G595" i="2"/>
  <c r="BO594" i="2"/>
  <c r="Z594" i="2"/>
  <c r="X594" i="2"/>
  <c r="W594" i="2"/>
  <c r="V594" i="2"/>
  <c r="BT594" i="2" s="1"/>
  <c r="T594" i="2"/>
  <c r="S594" i="2"/>
  <c r="S593" i="2" s="1"/>
  <c r="R594" i="2"/>
  <c r="R593" i="2" s="1"/>
  <c r="Q594" i="2"/>
  <c r="P594" i="2"/>
  <c r="Y594" i="2" s="1"/>
  <c r="O594" i="2"/>
  <c r="BN594" i="2" s="1"/>
  <c r="BP594" i="2" s="1"/>
  <c r="BU594" i="2" s="1"/>
  <c r="G594" i="2"/>
  <c r="BM593" i="2"/>
  <c r="BL593" i="2"/>
  <c r="BK593" i="2"/>
  <c r="BJ593" i="2"/>
  <c r="BI593" i="2"/>
  <c r="BH593" i="2"/>
  <c r="BH580" i="2" s="1"/>
  <c r="BG593" i="2"/>
  <c r="BF593" i="2"/>
  <c r="BE593" i="2"/>
  <c r="BD593" i="2"/>
  <c r="BC593" i="2"/>
  <c r="BB593" i="2"/>
  <c r="BA593" i="2"/>
  <c r="AZ593" i="2"/>
  <c r="AY593" i="2"/>
  <c r="AX593" i="2"/>
  <c r="AW593" i="2"/>
  <c r="AV593" i="2"/>
  <c r="AU593" i="2"/>
  <c r="AT593" i="2"/>
  <c r="AS593" i="2"/>
  <c r="AR593" i="2"/>
  <c r="AQ593" i="2"/>
  <c r="AP593" i="2"/>
  <c r="AO593" i="2"/>
  <c r="AN593" i="2"/>
  <c r="AM593" i="2"/>
  <c r="AL593" i="2"/>
  <c r="AK593" i="2"/>
  <c r="AJ593" i="2"/>
  <c r="AI593" i="2"/>
  <c r="AH593" i="2"/>
  <c r="AG593" i="2"/>
  <c r="AF593" i="2"/>
  <c r="AE593" i="2"/>
  <c r="AD593" i="2"/>
  <c r="AC593" i="2"/>
  <c r="AB593" i="2"/>
  <c r="AA593" i="2"/>
  <c r="X593" i="2"/>
  <c r="T593" i="2"/>
  <c r="O593" i="2"/>
  <c r="N593" i="2"/>
  <c r="M593" i="2"/>
  <c r="L593" i="2"/>
  <c r="K593" i="2"/>
  <c r="H593" i="2"/>
  <c r="H580" i="2" s="1"/>
  <c r="F593" i="2"/>
  <c r="E593" i="2"/>
  <c r="X592" i="2"/>
  <c r="V592" i="2"/>
  <c r="BT592" i="2" s="1"/>
  <c r="T592" i="2"/>
  <c r="S592" i="2"/>
  <c r="R592" i="2"/>
  <c r="Q592" i="2"/>
  <c r="P592" i="2"/>
  <c r="Y592" i="2" s="1"/>
  <c r="O592" i="2"/>
  <c r="BN592" i="2" s="1"/>
  <c r="G592" i="2"/>
  <c r="I592" i="2" s="1"/>
  <c r="BT591" i="2"/>
  <c r="BT590" i="2" s="1"/>
  <c r="Y591" i="2"/>
  <c r="X591" i="2"/>
  <c r="T591" i="2"/>
  <c r="T590" i="2" s="1"/>
  <c r="S591" i="2"/>
  <c r="V591" i="2" s="1"/>
  <c r="R591" i="2"/>
  <c r="R590" i="2" s="1"/>
  <c r="Q591" i="2"/>
  <c r="W591" i="2" s="1"/>
  <c r="P591" i="2"/>
  <c r="O591" i="2"/>
  <c r="U591" i="2" s="1"/>
  <c r="BQ591" i="2" s="1"/>
  <c r="I591" i="2"/>
  <c r="G591" i="2"/>
  <c r="J591" i="2" s="1"/>
  <c r="BM590" i="2"/>
  <c r="BL590" i="2"/>
  <c r="BK590" i="2"/>
  <c r="BJ590" i="2"/>
  <c r="BI590" i="2"/>
  <c r="BH590" i="2"/>
  <c r="BG590" i="2"/>
  <c r="BG580" i="2" s="1"/>
  <c r="BF590" i="2"/>
  <c r="BF580" i="2" s="1"/>
  <c r="BE590" i="2"/>
  <c r="BD590" i="2"/>
  <c r="BC590" i="2"/>
  <c r="BB590" i="2"/>
  <c r="BA590" i="2"/>
  <c r="AZ590" i="2"/>
  <c r="AZ580" i="2" s="1"/>
  <c r="AY590" i="2"/>
  <c r="AX590" i="2"/>
  <c r="AW590" i="2"/>
  <c r="AV590" i="2"/>
  <c r="AU590" i="2"/>
  <c r="AT590" i="2"/>
  <c r="AT580" i="2" s="1"/>
  <c r="AS590" i="2"/>
  <c r="AR590" i="2"/>
  <c r="AQ590" i="2"/>
  <c r="AP590" i="2"/>
  <c r="AO590" i="2"/>
  <c r="AO580" i="2" s="1"/>
  <c r="AN590" i="2"/>
  <c r="AM590" i="2"/>
  <c r="AL590" i="2"/>
  <c r="AK590" i="2"/>
  <c r="AJ590" i="2"/>
  <c r="AI590" i="2"/>
  <c r="AH590" i="2"/>
  <c r="AG590" i="2"/>
  <c r="AF590" i="2"/>
  <c r="AE590" i="2"/>
  <c r="AD590" i="2"/>
  <c r="AC590" i="2"/>
  <c r="AB590" i="2"/>
  <c r="AA590" i="2"/>
  <c r="V590" i="2"/>
  <c r="S590" i="2"/>
  <c r="O590" i="2"/>
  <c r="X590" i="2" s="1"/>
  <c r="N590" i="2"/>
  <c r="M590" i="2"/>
  <c r="L590" i="2"/>
  <c r="K590" i="2"/>
  <c r="H590" i="2"/>
  <c r="G590" i="2"/>
  <c r="F590" i="2"/>
  <c r="E590" i="2"/>
  <c r="BR589" i="2"/>
  <c r="BR588" i="2" s="1"/>
  <c r="Y589" i="2"/>
  <c r="W589" i="2"/>
  <c r="W588" i="2" s="1"/>
  <c r="T589" i="2"/>
  <c r="T588" i="2" s="1"/>
  <c r="S589" i="2"/>
  <c r="V589" i="2" s="1"/>
  <c r="BT589" i="2" s="1"/>
  <c r="BT588" i="2" s="1"/>
  <c r="R589" i="2"/>
  <c r="R588" i="2" s="1"/>
  <c r="Q589" i="2"/>
  <c r="P589" i="2"/>
  <c r="O589" i="2"/>
  <c r="U589" i="2" s="1"/>
  <c r="G589" i="2"/>
  <c r="J589" i="2" s="1"/>
  <c r="BM588" i="2"/>
  <c r="BL588" i="2"/>
  <c r="BK588" i="2"/>
  <c r="BJ588" i="2"/>
  <c r="BI588" i="2"/>
  <c r="BH588" i="2"/>
  <c r="BG588" i="2"/>
  <c r="BF588" i="2"/>
  <c r="BE588" i="2"/>
  <c r="BD588" i="2"/>
  <c r="BC588" i="2"/>
  <c r="BB588" i="2"/>
  <c r="BA588" i="2"/>
  <c r="AZ588" i="2"/>
  <c r="AY588" i="2"/>
  <c r="AX588" i="2"/>
  <c r="AW588" i="2"/>
  <c r="AV588" i="2"/>
  <c r="AU588" i="2"/>
  <c r="AT588" i="2"/>
  <c r="AS588" i="2"/>
  <c r="AR588" i="2"/>
  <c r="AQ588" i="2"/>
  <c r="AP588" i="2"/>
  <c r="AO588" i="2"/>
  <c r="AN588" i="2"/>
  <c r="AM588" i="2"/>
  <c r="AL588" i="2"/>
  <c r="AK588" i="2"/>
  <c r="AJ588" i="2"/>
  <c r="AI588" i="2"/>
  <c r="AH588" i="2"/>
  <c r="AG588" i="2"/>
  <c r="AF588" i="2"/>
  <c r="AE588" i="2"/>
  <c r="AD588" i="2"/>
  <c r="AC588" i="2"/>
  <c r="AB588" i="2"/>
  <c r="AA588" i="2"/>
  <c r="V588" i="2"/>
  <c r="Q588" i="2"/>
  <c r="Z588" i="2" s="1"/>
  <c r="P588" i="2"/>
  <c r="Y588" i="2" s="1"/>
  <c r="N588" i="2"/>
  <c r="O795" i="2" s="1"/>
  <c r="M588" i="2"/>
  <c r="L588" i="2"/>
  <c r="K588" i="2"/>
  <c r="K580" i="2" s="1"/>
  <c r="J588" i="2"/>
  <c r="H588" i="2"/>
  <c r="G588" i="2"/>
  <c r="I588" i="2" s="1"/>
  <c r="F588" i="2"/>
  <c r="E588" i="2"/>
  <c r="BN587" i="2"/>
  <c r="Y587" i="2"/>
  <c r="X587" i="2"/>
  <c r="W587" i="2"/>
  <c r="BR587" i="2" s="1"/>
  <c r="T587" i="2"/>
  <c r="S587" i="2"/>
  <c r="V587" i="2" s="1"/>
  <c r="BT587" i="2" s="1"/>
  <c r="R587" i="2"/>
  <c r="Q587" i="2"/>
  <c r="P587" i="2"/>
  <c r="O587" i="2"/>
  <c r="U587" i="2" s="1"/>
  <c r="BQ587" i="2" s="1"/>
  <c r="BS587" i="2" s="1"/>
  <c r="BV587" i="2" s="1"/>
  <c r="G587" i="2"/>
  <c r="J587" i="2" s="1"/>
  <c r="BO586" i="2"/>
  <c r="Z586" i="2"/>
  <c r="X586" i="2"/>
  <c r="T586" i="2"/>
  <c r="S586" i="2"/>
  <c r="V586" i="2" s="1"/>
  <c r="BT586" i="2" s="1"/>
  <c r="R586" i="2"/>
  <c r="Q586" i="2"/>
  <c r="W586" i="2" s="1"/>
  <c r="BR586" i="2" s="1"/>
  <c r="P586" i="2"/>
  <c r="Y586" i="2" s="1"/>
  <c r="O586" i="2"/>
  <c r="BN586" i="2" s="1"/>
  <c r="J586" i="2"/>
  <c r="I586" i="2"/>
  <c r="G586" i="2"/>
  <c r="BT585" i="2"/>
  <c r="Y585" i="2"/>
  <c r="T585" i="2"/>
  <c r="S585" i="2"/>
  <c r="V585" i="2" s="1"/>
  <c r="R585" i="2"/>
  <c r="Q585" i="2"/>
  <c r="BO585" i="2" s="1"/>
  <c r="P585" i="2"/>
  <c r="O585" i="2"/>
  <c r="J585" i="2"/>
  <c r="I585" i="2"/>
  <c r="G585" i="2"/>
  <c r="BT584" i="2"/>
  <c r="BO584" i="2"/>
  <c r="BN584" i="2"/>
  <c r="BP584" i="2" s="1"/>
  <c r="Z584" i="2"/>
  <c r="X584" i="2"/>
  <c r="V584" i="2"/>
  <c r="V581" i="2" s="1"/>
  <c r="T584" i="2"/>
  <c r="S584" i="2"/>
  <c r="R584" i="2"/>
  <c r="Q584" i="2"/>
  <c r="W584" i="2" s="1"/>
  <c r="BR584" i="2" s="1"/>
  <c r="P584" i="2"/>
  <c r="O584" i="2"/>
  <c r="U584" i="2" s="1"/>
  <c r="BQ584" i="2" s="1"/>
  <c r="G584" i="2"/>
  <c r="I584" i="2" s="1"/>
  <c r="BO583" i="2"/>
  <c r="BN583" i="2"/>
  <c r="V583" i="2"/>
  <c r="BT583" i="2" s="1"/>
  <c r="T583" i="2"/>
  <c r="S583" i="2"/>
  <c r="R583" i="2"/>
  <c r="Q583" i="2"/>
  <c r="Z583" i="2" s="1"/>
  <c r="P583" i="2"/>
  <c r="Y583" i="2" s="1"/>
  <c r="O583" i="2"/>
  <c r="I583" i="2"/>
  <c r="G583" i="2"/>
  <c r="Y582" i="2"/>
  <c r="X582" i="2"/>
  <c r="V582" i="2"/>
  <c r="BT582" i="2" s="1"/>
  <c r="T582" i="2"/>
  <c r="S582" i="2"/>
  <c r="R582" i="2"/>
  <c r="Q582" i="2"/>
  <c r="P582" i="2"/>
  <c r="O582" i="2"/>
  <c r="BN582" i="2" s="1"/>
  <c r="E582" i="2"/>
  <c r="BM581" i="2"/>
  <c r="BL581" i="2"/>
  <c r="BK581" i="2"/>
  <c r="BK580" i="2" s="1"/>
  <c r="BJ581" i="2"/>
  <c r="BI581" i="2"/>
  <c r="BH581" i="2"/>
  <c r="BG581" i="2"/>
  <c r="BF581" i="2"/>
  <c r="BE581" i="2"/>
  <c r="BD581" i="2"/>
  <c r="BC581" i="2"/>
  <c r="BB581" i="2"/>
  <c r="BB580" i="2" s="1"/>
  <c r="BA581" i="2"/>
  <c r="AZ581" i="2"/>
  <c r="AY581" i="2"/>
  <c r="AY580" i="2" s="1"/>
  <c r="AX581" i="2"/>
  <c r="AW581" i="2"/>
  <c r="AV581" i="2"/>
  <c r="AU581" i="2"/>
  <c r="AT581" i="2"/>
  <c r="AS581" i="2"/>
  <c r="AS580" i="2" s="1"/>
  <c r="AR581" i="2"/>
  <c r="AQ581" i="2"/>
  <c r="AP581" i="2"/>
  <c r="AO581" i="2"/>
  <c r="AN581" i="2"/>
  <c r="AN580" i="2" s="1"/>
  <c r="AM581" i="2"/>
  <c r="AM580" i="2" s="1"/>
  <c r="AL581" i="2"/>
  <c r="AK581" i="2"/>
  <c r="AJ581" i="2"/>
  <c r="AJ580" i="2" s="1"/>
  <c r="AI581" i="2"/>
  <c r="AH581" i="2"/>
  <c r="AG581" i="2"/>
  <c r="AG580" i="2" s="1"/>
  <c r="AF581" i="2"/>
  <c r="AE581" i="2"/>
  <c r="AD581" i="2"/>
  <c r="AC581" i="2"/>
  <c r="AB581" i="2"/>
  <c r="AA581" i="2"/>
  <c r="R581" i="2"/>
  <c r="N581" i="2"/>
  <c r="M581" i="2"/>
  <c r="M580" i="2" s="1"/>
  <c r="L581" i="2"/>
  <c r="L580" i="2" s="1"/>
  <c r="K581" i="2"/>
  <c r="H581" i="2"/>
  <c r="F581" i="2"/>
  <c r="BL580" i="2"/>
  <c r="BE580" i="2"/>
  <c r="AX580" i="2"/>
  <c r="AV580" i="2"/>
  <c r="AP580" i="2"/>
  <c r="AI580" i="2"/>
  <c r="AH580" i="2"/>
  <c r="AD580" i="2"/>
  <c r="AB580" i="2"/>
  <c r="AA580" i="2"/>
  <c r="N580" i="2"/>
  <c r="F580" i="2"/>
  <c r="X579" i="2"/>
  <c r="T579" i="2"/>
  <c r="S579" i="2"/>
  <c r="V579" i="2" s="1"/>
  <c r="BT579" i="2" s="1"/>
  <c r="R579" i="2"/>
  <c r="Q579" i="2"/>
  <c r="P579" i="2"/>
  <c r="Y579" i="2" s="1"/>
  <c r="O579" i="2"/>
  <c r="BN579" i="2" s="1"/>
  <c r="G579" i="2"/>
  <c r="G577" i="2" s="1"/>
  <c r="J577" i="2" s="1"/>
  <c r="BO578" i="2"/>
  <c r="Z578" i="2"/>
  <c r="X578" i="2"/>
  <c r="W578" i="2"/>
  <c r="BR578" i="2" s="1"/>
  <c r="T578" i="2"/>
  <c r="T577" i="2" s="1"/>
  <c r="S578" i="2"/>
  <c r="R578" i="2"/>
  <c r="Q578" i="2"/>
  <c r="P578" i="2"/>
  <c r="Y578" i="2" s="1"/>
  <c r="O578" i="2"/>
  <c r="BN578" i="2" s="1"/>
  <c r="J578" i="2"/>
  <c r="I578" i="2"/>
  <c r="G578" i="2"/>
  <c r="BN577" i="2"/>
  <c r="BM577" i="2"/>
  <c r="BL577" i="2"/>
  <c r="BK577" i="2"/>
  <c r="BJ577" i="2"/>
  <c r="BI577" i="2"/>
  <c r="BH577" i="2"/>
  <c r="BG577" i="2"/>
  <c r="BF577" i="2"/>
  <c r="BE577" i="2"/>
  <c r="BD577" i="2"/>
  <c r="BC577" i="2"/>
  <c r="BB577" i="2"/>
  <c r="BA577" i="2"/>
  <c r="AZ577" i="2"/>
  <c r="AY577" i="2"/>
  <c r="AX577" i="2"/>
  <c r="AW577" i="2"/>
  <c r="AV577" i="2"/>
  <c r="AU577" i="2"/>
  <c r="AT577" i="2"/>
  <c r="AS577" i="2"/>
  <c r="AR577" i="2"/>
  <c r="AQ577" i="2"/>
  <c r="AP577" i="2"/>
  <c r="AO577" i="2"/>
  <c r="AN577" i="2"/>
  <c r="AM577" i="2"/>
  <c r="AL577" i="2"/>
  <c r="AK577" i="2"/>
  <c r="AJ577" i="2"/>
  <c r="AI577" i="2"/>
  <c r="AH577" i="2"/>
  <c r="AG577" i="2"/>
  <c r="AF577" i="2"/>
  <c r="AE577" i="2"/>
  <c r="AD577" i="2"/>
  <c r="AC577" i="2"/>
  <c r="AB577" i="2"/>
  <c r="AA577" i="2"/>
  <c r="R577" i="2"/>
  <c r="O577" i="2"/>
  <c r="X577" i="2" s="1"/>
  <c r="N577" i="2"/>
  <c r="M577" i="2"/>
  <c r="L577" i="2"/>
  <c r="K577" i="2"/>
  <c r="I577" i="2"/>
  <c r="H577" i="2"/>
  <c r="F577" i="2"/>
  <c r="E577" i="2"/>
  <c r="BO576" i="2"/>
  <c r="BP576" i="2" s="1"/>
  <c r="X576" i="2"/>
  <c r="W576" i="2"/>
  <c r="BR576" i="2" s="1"/>
  <c r="V576" i="2"/>
  <c r="BT576" i="2" s="1"/>
  <c r="T576" i="2"/>
  <c r="S576" i="2"/>
  <c r="R576" i="2"/>
  <c r="Q576" i="2"/>
  <c r="Z576" i="2" s="1"/>
  <c r="P576" i="2"/>
  <c r="Y576" i="2" s="1"/>
  <c r="O576" i="2"/>
  <c r="BN576" i="2" s="1"/>
  <c r="J576" i="2"/>
  <c r="I576" i="2"/>
  <c r="G576" i="2"/>
  <c r="Y575" i="2"/>
  <c r="X575" i="2"/>
  <c r="T575" i="2"/>
  <c r="S575" i="2"/>
  <c r="V575" i="2" s="1"/>
  <c r="BT575" i="2" s="1"/>
  <c r="R575" i="2"/>
  <c r="Q575" i="2"/>
  <c r="W575" i="2" s="1"/>
  <c r="BR575" i="2" s="1"/>
  <c r="P575" i="2"/>
  <c r="O575" i="2"/>
  <c r="BN575" i="2" s="1"/>
  <c r="G575" i="2"/>
  <c r="E575" i="2"/>
  <c r="E570" i="2" s="1"/>
  <c r="BO574" i="2"/>
  <c r="Z574" i="2"/>
  <c r="Y574" i="2"/>
  <c r="T574" i="2"/>
  <c r="S574" i="2"/>
  <c r="R574" i="2"/>
  <c r="Q574" i="2"/>
  <c r="W574" i="2" s="1"/>
  <c r="BR574" i="2" s="1"/>
  <c r="P574" i="2"/>
  <c r="O574" i="2"/>
  <c r="X574" i="2" s="1"/>
  <c r="J574" i="2"/>
  <c r="I574" i="2"/>
  <c r="G574" i="2"/>
  <c r="BT573" i="2"/>
  <c r="BN573" i="2"/>
  <c r="Z573" i="2"/>
  <c r="V573" i="2"/>
  <c r="T573" i="2"/>
  <c r="S573" i="2"/>
  <c r="R573" i="2"/>
  <c r="Q573" i="2"/>
  <c r="W573" i="2" s="1"/>
  <c r="BR573" i="2" s="1"/>
  <c r="P573" i="2"/>
  <c r="Y573" i="2" s="1"/>
  <c r="O573" i="2"/>
  <c r="X573" i="2" s="1"/>
  <c r="J573" i="2"/>
  <c r="G573" i="2"/>
  <c r="I573" i="2" s="1"/>
  <c r="BU572" i="2"/>
  <c r="BO572" i="2"/>
  <c r="BN572" i="2"/>
  <c r="BP572" i="2" s="1"/>
  <c r="V572" i="2"/>
  <c r="BT572" i="2" s="1"/>
  <c r="T572" i="2"/>
  <c r="S572" i="2"/>
  <c r="R572" i="2"/>
  <c r="Q572" i="2"/>
  <c r="Z572" i="2" s="1"/>
  <c r="P572" i="2"/>
  <c r="Y572" i="2" s="1"/>
  <c r="O572" i="2"/>
  <c r="X572" i="2" s="1"/>
  <c r="G572" i="2"/>
  <c r="J572" i="2" s="1"/>
  <c r="BO571" i="2"/>
  <c r="AP571" i="2"/>
  <c r="Y571" i="2"/>
  <c r="X571" i="2"/>
  <c r="T571" i="2"/>
  <c r="S571" i="2"/>
  <c r="V571" i="2" s="1"/>
  <c r="BT571" i="2" s="1"/>
  <c r="R571" i="2"/>
  <c r="Q571" i="2"/>
  <c r="P571" i="2"/>
  <c r="O571" i="2"/>
  <c r="BN571" i="2" s="1"/>
  <c r="G571" i="2"/>
  <c r="BM570" i="2"/>
  <c r="BL570" i="2"/>
  <c r="BK570" i="2"/>
  <c r="BJ570" i="2"/>
  <c r="BI570" i="2"/>
  <c r="BH570" i="2"/>
  <c r="BG570" i="2"/>
  <c r="BF570" i="2"/>
  <c r="BF566" i="2" s="1"/>
  <c r="BE570" i="2"/>
  <c r="BD570" i="2"/>
  <c r="BC570" i="2"/>
  <c r="BB570" i="2"/>
  <c r="BA570" i="2"/>
  <c r="AZ570" i="2"/>
  <c r="AY570" i="2"/>
  <c r="AX570" i="2"/>
  <c r="AW570" i="2"/>
  <c r="AV570" i="2"/>
  <c r="AU570" i="2"/>
  <c r="AT570" i="2"/>
  <c r="AT566" i="2" s="1"/>
  <c r="AS570" i="2"/>
  <c r="AR570" i="2"/>
  <c r="AQ570" i="2"/>
  <c r="AP570" i="2"/>
  <c r="AO570" i="2"/>
  <c r="AN570" i="2"/>
  <c r="AM570" i="2"/>
  <c r="AL570" i="2"/>
  <c r="AK570" i="2"/>
  <c r="AJ570" i="2"/>
  <c r="AI570" i="2"/>
  <c r="AH570" i="2"/>
  <c r="AH566" i="2" s="1"/>
  <c r="AG570" i="2"/>
  <c r="AF570" i="2"/>
  <c r="AE570" i="2"/>
  <c r="AD570" i="2"/>
  <c r="AC570" i="2"/>
  <c r="AB570" i="2"/>
  <c r="AA570" i="2"/>
  <c r="P570" i="2"/>
  <c r="Y570" i="2" s="1"/>
  <c r="N570" i="2"/>
  <c r="M570" i="2"/>
  <c r="L570" i="2"/>
  <c r="K570" i="2"/>
  <c r="H570" i="2"/>
  <c r="F570" i="2"/>
  <c r="Y569" i="2"/>
  <c r="X569" i="2"/>
  <c r="W569" i="2"/>
  <c r="BR569" i="2" s="1"/>
  <c r="T569" i="2"/>
  <c r="S569" i="2"/>
  <c r="V569" i="2" s="1"/>
  <c r="BT569" i="2" s="1"/>
  <c r="R569" i="2"/>
  <c r="Q569" i="2"/>
  <c r="P569" i="2"/>
  <c r="O569" i="2"/>
  <c r="BN569" i="2" s="1"/>
  <c r="G569" i="2"/>
  <c r="BR568" i="2"/>
  <c r="BO568" i="2"/>
  <c r="BN568" i="2"/>
  <c r="BP568" i="2" s="1"/>
  <c r="Z568" i="2"/>
  <c r="Y568" i="2"/>
  <c r="T568" i="2"/>
  <c r="S568" i="2"/>
  <c r="R568" i="2"/>
  <c r="Q568" i="2"/>
  <c r="W568" i="2" s="1"/>
  <c r="P568" i="2"/>
  <c r="P567" i="2" s="1"/>
  <c r="Y567" i="2" s="1"/>
  <c r="O568" i="2"/>
  <c r="G568" i="2"/>
  <c r="E568" i="2"/>
  <c r="BN567" i="2"/>
  <c r="BM567" i="2"/>
  <c r="BL567" i="2"/>
  <c r="BK567" i="2"/>
  <c r="BJ567" i="2"/>
  <c r="BJ566" i="2" s="1"/>
  <c r="BJ565" i="2" s="1"/>
  <c r="BI567" i="2"/>
  <c r="BH567" i="2"/>
  <c r="BH566" i="2" s="1"/>
  <c r="BH565" i="2" s="1"/>
  <c r="BG567" i="2"/>
  <c r="BF567" i="2"/>
  <c r="BE567" i="2"/>
  <c r="BD567" i="2"/>
  <c r="BD566" i="2" s="1"/>
  <c r="BC567" i="2"/>
  <c r="BB567" i="2"/>
  <c r="BB566" i="2" s="1"/>
  <c r="BB565" i="2" s="1"/>
  <c r="BA567" i="2"/>
  <c r="AZ567" i="2"/>
  <c r="AY567" i="2"/>
  <c r="AX567" i="2"/>
  <c r="AX566" i="2" s="1"/>
  <c r="AX565" i="2" s="1"/>
  <c r="AW567" i="2"/>
  <c r="AV567" i="2"/>
  <c r="AV566" i="2" s="1"/>
  <c r="AV565" i="2" s="1"/>
  <c r="AU567" i="2"/>
  <c r="AT567" i="2"/>
  <c r="AS567" i="2"/>
  <c r="AR567" i="2"/>
  <c r="AR566" i="2" s="1"/>
  <c r="AR565" i="2" s="1"/>
  <c r="AQ567" i="2"/>
  <c r="AP567" i="2"/>
  <c r="AP566" i="2" s="1"/>
  <c r="AP565" i="2" s="1"/>
  <c r="AO567" i="2"/>
  <c r="AN567" i="2"/>
  <c r="AM567" i="2"/>
  <c r="AL567" i="2"/>
  <c r="AL566" i="2" s="1"/>
  <c r="AL565" i="2" s="1"/>
  <c r="AK567" i="2"/>
  <c r="AJ567" i="2"/>
  <c r="AJ566" i="2" s="1"/>
  <c r="AI567" i="2"/>
  <c r="AH567" i="2"/>
  <c r="AG567" i="2"/>
  <c r="AF567" i="2"/>
  <c r="AF566" i="2" s="1"/>
  <c r="AF565" i="2" s="1"/>
  <c r="AE567" i="2"/>
  <c r="AD567" i="2"/>
  <c r="AD566" i="2" s="1"/>
  <c r="AC567" i="2"/>
  <c r="AB567" i="2"/>
  <c r="AA567" i="2"/>
  <c r="Z567" i="2"/>
  <c r="T567" i="2"/>
  <c r="R567" i="2"/>
  <c r="Q567" i="2"/>
  <c r="N567" i="2"/>
  <c r="N566" i="2" s="1"/>
  <c r="M567" i="2"/>
  <c r="L567" i="2"/>
  <c r="L566" i="2" s="1"/>
  <c r="K567" i="2"/>
  <c r="H567" i="2"/>
  <c r="F567" i="2"/>
  <c r="F566" i="2" s="1"/>
  <c r="E567" i="2"/>
  <c r="E566" i="2" s="1"/>
  <c r="BM566" i="2"/>
  <c r="BL566" i="2"/>
  <c r="BL565" i="2" s="1"/>
  <c r="BI566" i="2"/>
  <c r="BG566" i="2"/>
  <c r="BC566" i="2"/>
  <c r="BA566" i="2"/>
  <c r="AZ566" i="2"/>
  <c r="AW566" i="2"/>
  <c r="AU566" i="2"/>
  <c r="AQ566" i="2"/>
  <c r="AO566" i="2"/>
  <c r="AN566" i="2"/>
  <c r="AN565" i="2" s="1"/>
  <c r="AK566" i="2"/>
  <c r="AI566" i="2"/>
  <c r="AE566" i="2"/>
  <c r="AC566" i="2"/>
  <c r="AB566" i="2"/>
  <c r="AB565" i="2" s="1"/>
  <c r="M566" i="2"/>
  <c r="K566" i="2"/>
  <c r="K565" i="2" s="1"/>
  <c r="AT565" i="2"/>
  <c r="AH565" i="2"/>
  <c r="Y564" i="2"/>
  <c r="X564" i="2"/>
  <c r="T564" i="2"/>
  <c r="T563" i="2" s="1"/>
  <c r="S564" i="2"/>
  <c r="V564" i="2" s="1"/>
  <c r="BT564" i="2" s="1"/>
  <c r="R564" i="2"/>
  <c r="Q564" i="2"/>
  <c r="W564" i="2" s="1"/>
  <c r="P564" i="2"/>
  <c r="O564" i="2"/>
  <c r="BN564" i="2" s="1"/>
  <c r="J564" i="2"/>
  <c r="G564" i="2"/>
  <c r="BT563" i="2"/>
  <c r="BN563" i="2"/>
  <c r="BM563" i="2"/>
  <c r="BL563" i="2"/>
  <c r="BK563" i="2"/>
  <c r="BK559" i="2" s="1"/>
  <c r="BJ563" i="2"/>
  <c r="BI563" i="2"/>
  <c r="BH563" i="2"/>
  <c r="BG563" i="2"/>
  <c r="BF563" i="2"/>
  <c r="BE563" i="2"/>
  <c r="BE559" i="2" s="1"/>
  <c r="BD563" i="2"/>
  <c r="BC563" i="2"/>
  <c r="BB563" i="2"/>
  <c r="BB559" i="2" s="1"/>
  <c r="BA563" i="2"/>
  <c r="AZ563" i="2"/>
  <c r="AY563" i="2"/>
  <c r="AY559" i="2" s="1"/>
  <c r="AX563" i="2"/>
  <c r="AW563" i="2"/>
  <c r="AV563" i="2"/>
  <c r="AU563" i="2"/>
  <c r="AT563" i="2"/>
  <c r="AS563" i="2"/>
  <c r="AS559" i="2" s="1"/>
  <c r="AR563" i="2"/>
  <c r="AQ563" i="2"/>
  <c r="AP563" i="2"/>
  <c r="AP559" i="2" s="1"/>
  <c r="AO563" i="2"/>
  <c r="AN563" i="2"/>
  <c r="AM563" i="2"/>
  <c r="AM559" i="2" s="1"/>
  <c r="AL563" i="2"/>
  <c r="AK563" i="2"/>
  <c r="AJ563" i="2"/>
  <c r="AI563" i="2"/>
  <c r="AH563" i="2"/>
  <c r="AG563" i="2"/>
  <c r="AG559" i="2" s="1"/>
  <c r="AF563" i="2"/>
  <c r="AE563" i="2"/>
  <c r="AD563" i="2"/>
  <c r="AD559" i="2" s="1"/>
  <c r="AC563" i="2"/>
  <c r="AB563" i="2"/>
  <c r="AA563" i="2"/>
  <c r="AA559" i="2" s="1"/>
  <c r="V563" i="2"/>
  <c r="S563" i="2"/>
  <c r="R563" i="2"/>
  <c r="P563" i="2"/>
  <c r="Y563" i="2" s="1"/>
  <c r="O563" i="2"/>
  <c r="X563" i="2" s="1"/>
  <c r="N563" i="2"/>
  <c r="M563" i="2"/>
  <c r="L563" i="2"/>
  <c r="K563" i="2"/>
  <c r="H563" i="2"/>
  <c r="F563" i="2"/>
  <c r="F559" i="2" s="1"/>
  <c r="E563" i="2"/>
  <c r="BP562" i="2"/>
  <c r="Y562" i="2"/>
  <c r="X562" i="2"/>
  <c r="W562" i="2"/>
  <c r="T562" i="2"/>
  <c r="T560" i="2" s="1"/>
  <c r="S562" i="2"/>
  <c r="V562" i="2" s="1"/>
  <c r="BT562" i="2" s="1"/>
  <c r="R562" i="2"/>
  <c r="Q562" i="2"/>
  <c r="BO562" i="2" s="1"/>
  <c r="P562" i="2"/>
  <c r="O562" i="2"/>
  <c r="BN562" i="2" s="1"/>
  <c r="G562" i="2"/>
  <c r="BR561" i="2"/>
  <c r="BO561" i="2"/>
  <c r="Z561" i="2"/>
  <c r="Y561" i="2"/>
  <c r="T561" i="2"/>
  <c r="S561" i="2"/>
  <c r="R561" i="2"/>
  <c r="R560" i="2" s="1"/>
  <c r="Q561" i="2"/>
  <c r="W561" i="2" s="1"/>
  <c r="P561" i="2"/>
  <c r="O561" i="2"/>
  <c r="G561" i="2"/>
  <c r="BO560" i="2"/>
  <c r="BM560" i="2"/>
  <c r="BM559" i="2" s="1"/>
  <c r="BL560" i="2"/>
  <c r="BK560" i="2"/>
  <c r="BJ560" i="2"/>
  <c r="BJ559" i="2" s="1"/>
  <c r="BI560" i="2"/>
  <c r="BI559" i="2" s="1"/>
  <c r="BH560" i="2"/>
  <c r="BG560" i="2"/>
  <c r="BG559" i="2" s="1"/>
  <c r="BF560" i="2"/>
  <c r="BF559" i="2" s="1"/>
  <c r="BE560" i="2"/>
  <c r="BD560" i="2"/>
  <c r="BD559" i="2" s="1"/>
  <c r="BC560" i="2"/>
  <c r="BC559" i="2" s="1"/>
  <c r="BB560" i="2"/>
  <c r="BA560" i="2"/>
  <c r="BA559" i="2" s="1"/>
  <c r="AZ560" i="2"/>
  <c r="AZ559" i="2" s="1"/>
  <c r="AY560" i="2"/>
  <c r="AX560" i="2"/>
  <c r="AX559" i="2" s="1"/>
  <c r="AW560" i="2"/>
  <c r="AW559" i="2" s="1"/>
  <c r="AV560" i="2"/>
  <c r="AU560" i="2"/>
  <c r="AU559" i="2" s="1"/>
  <c r="AT560" i="2"/>
  <c r="AT559" i="2" s="1"/>
  <c r="AS560" i="2"/>
  <c r="AR560" i="2"/>
  <c r="AR559" i="2" s="1"/>
  <c r="AQ560" i="2"/>
  <c r="AQ559" i="2" s="1"/>
  <c r="AP560" i="2"/>
  <c r="AO560" i="2"/>
  <c r="AO559" i="2" s="1"/>
  <c r="AN560" i="2"/>
  <c r="AN559" i="2" s="1"/>
  <c r="AM560" i="2"/>
  <c r="AL560" i="2"/>
  <c r="AL559" i="2" s="1"/>
  <c r="AK560" i="2"/>
  <c r="AK559" i="2" s="1"/>
  <c r="AJ560" i="2"/>
  <c r="AI560" i="2"/>
  <c r="AI559" i="2" s="1"/>
  <c r="AH560" i="2"/>
  <c r="AH559" i="2" s="1"/>
  <c r="AG560" i="2"/>
  <c r="AF560" i="2"/>
  <c r="AF559" i="2" s="1"/>
  <c r="AE560" i="2"/>
  <c r="AE559" i="2" s="1"/>
  <c r="AD560" i="2"/>
  <c r="AC560" i="2"/>
  <c r="AC559" i="2" s="1"/>
  <c r="AB560" i="2"/>
  <c r="AA560" i="2"/>
  <c r="Y560" i="2"/>
  <c r="Q560" i="2"/>
  <c r="P560" i="2"/>
  <c r="N560" i="2"/>
  <c r="N559" i="2" s="1"/>
  <c r="M560" i="2"/>
  <c r="M559" i="2" s="1"/>
  <c r="L560" i="2"/>
  <c r="K560" i="2"/>
  <c r="K559" i="2" s="1"/>
  <c r="H560" i="2"/>
  <c r="T204" i="3" s="1"/>
  <c r="F560" i="2"/>
  <c r="E560" i="2"/>
  <c r="E559" i="2" s="1"/>
  <c r="BL559" i="2"/>
  <c r="BH559" i="2"/>
  <c r="AV559" i="2"/>
  <c r="AJ559" i="2"/>
  <c r="AB559" i="2"/>
  <c r="R559" i="2"/>
  <c r="P559" i="2"/>
  <c r="Y559" i="2" s="1"/>
  <c r="L559" i="2"/>
  <c r="Y558" i="2"/>
  <c r="X558" i="2"/>
  <c r="T558" i="2"/>
  <c r="S558" i="2"/>
  <c r="V558" i="2" s="1"/>
  <c r="BT558" i="2" s="1"/>
  <c r="R558" i="2"/>
  <c r="R556" i="2" s="1"/>
  <c r="Q558" i="2"/>
  <c r="P558" i="2"/>
  <c r="O558" i="2"/>
  <c r="BN558" i="2" s="1"/>
  <c r="J558" i="2"/>
  <c r="G558" i="2"/>
  <c r="Y557" i="2"/>
  <c r="X557" i="2"/>
  <c r="T557" i="2"/>
  <c r="T556" i="2" s="1"/>
  <c r="S557" i="2"/>
  <c r="V557" i="2" s="1"/>
  <c r="BT557" i="2" s="1"/>
  <c r="R557" i="2"/>
  <c r="Q557" i="2"/>
  <c r="W557" i="2" s="1"/>
  <c r="P557" i="2"/>
  <c r="O557" i="2"/>
  <c r="BN557" i="2" s="1"/>
  <c r="J557" i="2"/>
  <c r="G557" i="2"/>
  <c r="I557" i="2" s="1"/>
  <c r="BT556" i="2"/>
  <c r="BM556" i="2"/>
  <c r="BL556" i="2"/>
  <c r="BK556" i="2"/>
  <c r="BJ556" i="2"/>
  <c r="BI556" i="2"/>
  <c r="BH556" i="2"/>
  <c r="BG556" i="2"/>
  <c r="BF556" i="2"/>
  <c r="BF543" i="2" s="1"/>
  <c r="BE556" i="2"/>
  <c r="BD556" i="2"/>
  <c r="BC556" i="2"/>
  <c r="BB556" i="2"/>
  <c r="BA556" i="2"/>
  <c r="AZ556" i="2"/>
  <c r="AZ543" i="2" s="1"/>
  <c r="AY556" i="2"/>
  <c r="AX556" i="2"/>
  <c r="AW556" i="2"/>
  <c r="AV556" i="2"/>
  <c r="AU556" i="2"/>
  <c r="AT556" i="2"/>
  <c r="AS556" i="2"/>
  <c r="AR556" i="2"/>
  <c r="AQ556" i="2"/>
  <c r="AP556" i="2"/>
  <c r="AO556" i="2"/>
  <c r="AN556" i="2"/>
  <c r="AN543" i="2" s="1"/>
  <c r="AM556" i="2"/>
  <c r="AL556" i="2"/>
  <c r="AK556" i="2"/>
  <c r="AJ556" i="2"/>
  <c r="AI556" i="2"/>
  <c r="AH556" i="2"/>
  <c r="AH543" i="2" s="1"/>
  <c r="AG556" i="2"/>
  <c r="AF556" i="2"/>
  <c r="AE556" i="2"/>
  <c r="AD556" i="2"/>
  <c r="AC556" i="2"/>
  <c r="AB556" i="2"/>
  <c r="AA556" i="2"/>
  <c r="X556" i="2"/>
  <c r="S556" i="2"/>
  <c r="P556" i="2"/>
  <c r="Y556" i="2" s="1"/>
  <c r="O556" i="2"/>
  <c r="N556" i="2"/>
  <c r="M556" i="2"/>
  <c r="M543" i="2" s="1"/>
  <c r="L556" i="2"/>
  <c r="K556" i="2"/>
  <c r="I556" i="2"/>
  <c r="H556" i="2"/>
  <c r="G556" i="2"/>
  <c r="J556" i="2" s="1"/>
  <c r="F556" i="2"/>
  <c r="E556" i="2"/>
  <c r="BN555" i="2"/>
  <c r="Y555" i="2"/>
  <c r="X555" i="2"/>
  <c r="T555" i="2"/>
  <c r="S555" i="2"/>
  <c r="V555" i="2" s="1"/>
  <c r="BT555" i="2" s="1"/>
  <c r="R555" i="2"/>
  <c r="Q555" i="2"/>
  <c r="P555" i="2"/>
  <c r="O555" i="2"/>
  <c r="U555" i="2" s="1"/>
  <c r="BQ555" i="2" s="1"/>
  <c r="G555" i="2"/>
  <c r="BO554" i="2"/>
  <c r="Z554" i="2"/>
  <c r="T554" i="2"/>
  <c r="S554" i="2"/>
  <c r="V554" i="2" s="1"/>
  <c r="BT554" i="2" s="1"/>
  <c r="R554" i="2"/>
  <c r="Q554" i="2"/>
  <c r="W554" i="2" s="1"/>
  <c r="BR554" i="2" s="1"/>
  <c r="P554" i="2"/>
  <c r="Y554" i="2" s="1"/>
  <c r="O554" i="2"/>
  <c r="G554" i="2"/>
  <c r="BR553" i="2"/>
  <c r="BO553" i="2"/>
  <c r="W553" i="2"/>
  <c r="T553" i="2"/>
  <c r="S553" i="2"/>
  <c r="R553" i="2"/>
  <c r="Q553" i="2"/>
  <c r="Z553" i="2" s="1"/>
  <c r="P553" i="2"/>
  <c r="P552" i="2" s="1"/>
  <c r="Y552" i="2" s="1"/>
  <c r="O553" i="2"/>
  <c r="X553" i="2" s="1"/>
  <c r="J553" i="2"/>
  <c r="I553" i="2"/>
  <c r="G553" i="2"/>
  <c r="BM552" i="2"/>
  <c r="BL552" i="2"/>
  <c r="BK552" i="2"/>
  <c r="BJ552" i="2"/>
  <c r="BI552" i="2"/>
  <c r="BH552" i="2"/>
  <c r="BG552" i="2"/>
  <c r="BF552" i="2"/>
  <c r="BE552" i="2"/>
  <c r="BD552" i="2"/>
  <c r="BC552" i="2"/>
  <c r="BB552" i="2"/>
  <c r="BA552" i="2"/>
  <c r="AZ552" i="2"/>
  <c r="AY552" i="2"/>
  <c r="AX552" i="2"/>
  <c r="AW552" i="2"/>
  <c r="AV552" i="2"/>
  <c r="AU552" i="2"/>
  <c r="AT552" i="2"/>
  <c r="AS552" i="2"/>
  <c r="AR552" i="2"/>
  <c r="AQ552" i="2"/>
  <c r="AP552" i="2"/>
  <c r="AO552" i="2"/>
  <c r="AN552" i="2"/>
  <c r="AM552" i="2"/>
  <c r="AL552" i="2"/>
  <c r="AK552" i="2"/>
  <c r="AJ552" i="2"/>
  <c r="AI552" i="2"/>
  <c r="AH552" i="2"/>
  <c r="AG552" i="2"/>
  <c r="AF552" i="2"/>
  <c r="AE552" i="2"/>
  <c r="AD552" i="2"/>
  <c r="AC552" i="2"/>
  <c r="AB552" i="2"/>
  <c r="AA552" i="2"/>
  <c r="T552" i="2"/>
  <c r="R552" i="2"/>
  <c r="Q552" i="2"/>
  <c r="Z552" i="2" s="1"/>
  <c r="N552" i="2"/>
  <c r="M552" i="2"/>
  <c r="L552" i="2"/>
  <c r="K552" i="2"/>
  <c r="H552" i="2"/>
  <c r="F552" i="2"/>
  <c r="E552" i="2"/>
  <c r="BO551" i="2"/>
  <c r="BO550" i="2" s="1"/>
  <c r="Z551" i="2"/>
  <c r="W551" i="2"/>
  <c r="T551" i="2"/>
  <c r="T550" i="2" s="1"/>
  <c r="S551" i="2"/>
  <c r="S550" i="2" s="1"/>
  <c r="R551" i="2"/>
  <c r="Q551" i="2"/>
  <c r="P551" i="2"/>
  <c r="O551" i="2"/>
  <c r="X551" i="2" s="1"/>
  <c r="J551" i="2"/>
  <c r="I551" i="2"/>
  <c r="G551" i="2"/>
  <c r="BM550" i="2"/>
  <c r="BM543" i="2" s="1"/>
  <c r="BM530" i="2" s="1"/>
  <c r="BL550" i="2"/>
  <c r="BK550" i="2"/>
  <c r="BJ550" i="2"/>
  <c r="BI550" i="2"/>
  <c r="BH550" i="2"/>
  <c r="BG550" i="2"/>
  <c r="BG543" i="2" s="1"/>
  <c r="BF550" i="2"/>
  <c r="BE550" i="2"/>
  <c r="BD550" i="2"/>
  <c r="BC550" i="2"/>
  <c r="BB550" i="2"/>
  <c r="BA550" i="2"/>
  <c r="AZ550" i="2"/>
  <c r="AY550" i="2"/>
  <c r="AX550" i="2"/>
  <c r="AW550" i="2"/>
  <c r="AV550" i="2"/>
  <c r="AU550" i="2"/>
  <c r="AU543" i="2" s="1"/>
  <c r="AT550" i="2"/>
  <c r="AS550" i="2"/>
  <c r="AR550" i="2"/>
  <c r="AQ550" i="2"/>
  <c r="AP550" i="2"/>
  <c r="AO550" i="2"/>
  <c r="AN550" i="2"/>
  <c r="AM550" i="2"/>
  <c r="AL550" i="2"/>
  <c r="AK550" i="2"/>
  <c r="AJ550" i="2"/>
  <c r="AI550" i="2"/>
  <c r="AI543" i="2" s="1"/>
  <c r="AH550" i="2"/>
  <c r="AG550" i="2"/>
  <c r="AF550" i="2"/>
  <c r="AE550" i="2"/>
  <c r="AD550" i="2"/>
  <c r="AC550" i="2"/>
  <c r="AC543" i="2" s="1"/>
  <c r="AB550" i="2"/>
  <c r="AA550" i="2"/>
  <c r="R550" i="2"/>
  <c r="Q550" i="2"/>
  <c r="Z550" i="2" s="1"/>
  <c r="O550" i="2"/>
  <c r="X550" i="2" s="1"/>
  <c r="N550" i="2"/>
  <c r="M550" i="2"/>
  <c r="L550" i="2"/>
  <c r="K550" i="2"/>
  <c r="I550" i="2"/>
  <c r="H550" i="2"/>
  <c r="H543" i="2" s="1"/>
  <c r="G550" i="2"/>
  <c r="F550" i="2"/>
  <c r="E550" i="2"/>
  <c r="S204" i="3" s="1"/>
  <c r="R204" i="3" s="1"/>
  <c r="W549" i="2"/>
  <c r="BR549" i="2" s="1"/>
  <c r="V549" i="2"/>
  <c r="BT549" i="2" s="1"/>
  <c r="T549" i="2"/>
  <c r="S549" i="2"/>
  <c r="R549" i="2"/>
  <c r="Q549" i="2"/>
  <c r="BO549" i="2" s="1"/>
  <c r="P549" i="2"/>
  <c r="Y549" i="2" s="1"/>
  <c r="O549" i="2"/>
  <c r="X549" i="2" s="1"/>
  <c r="J549" i="2"/>
  <c r="I549" i="2"/>
  <c r="G549" i="2"/>
  <c r="BT548" i="2"/>
  <c r="BN548" i="2"/>
  <c r="BP548" i="2" s="1"/>
  <c r="W548" i="2"/>
  <c r="BR548" i="2" s="1"/>
  <c r="V548" i="2"/>
  <c r="T548" i="2"/>
  <c r="S548" i="2"/>
  <c r="R548" i="2"/>
  <c r="Q548" i="2"/>
  <c r="BO548" i="2" s="1"/>
  <c r="P548" i="2"/>
  <c r="Y548" i="2" s="1"/>
  <c r="O548" i="2"/>
  <c r="U548" i="2" s="1"/>
  <c r="BQ548" i="2" s="1"/>
  <c r="BS548" i="2" s="1"/>
  <c r="BV548" i="2" s="1"/>
  <c r="G548" i="2"/>
  <c r="AM547" i="2"/>
  <c r="AJ547" i="2"/>
  <c r="Y547" i="2"/>
  <c r="X547" i="2"/>
  <c r="T547" i="2"/>
  <c r="S547" i="2"/>
  <c r="V547" i="2" s="1"/>
  <c r="BT547" i="2" s="1"/>
  <c r="R547" i="2"/>
  <c r="Q547" i="2"/>
  <c r="P547" i="2"/>
  <c r="O547" i="2"/>
  <c r="BN547" i="2" s="1"/>
  <c r="G547" i="2"/>
  <c r="I547" i="2" s="1"/>
  <c r="BU546" i="2"/>
  <c r="BO546" i="2"/>
  <c r="BN546" i="2"/>
  <c r="BP546" i="2" s="1"/>
  <c r="Z546" i="2"/>
  <c r="Y546" i="2"/>
  <c r="X546" i="2"/>
  <c r="T546" i="2"/>
  <c r="S546" i="2"/>
  <c r="V546" i="2" s="1"/>
  <c r="BT546" i="2" s="1"/>
  <c r="R546" i="2"/>
  <c r="Q546" i="2"/>
  <c r="W546" i="2" s="1"/>
  <c r="BR546" i="2" s="1"/>
  <c r="P546" i="2"/>
  <c r="O546" i="2"/>
  <c r="U546" i="2" s="1"/>
  <c r="BQ546" i="2" s="1"/>
  <c r="G546" i="2"/>
  <c r="BO545" i="2"/>
  <c r="Y545" i="2"/>
  <c r="T545" i="2"/>
  <c r="T544" i="2" s="1"/>
  <c r="S545" i="2"/>
  <c r="R545" i="2"/>
  <c r="Q545" i="2"/>
  <c r="P545" i="2"/>
  <c r="O545" i="2"/>
  <c r="X545" i="2" s="1"/>
  <c r="J545" i="2"/>
  <c r="I545" i="2"/>
  <c r="G545" i="2"/>
  <c r="BM544" i="2"/>
  <c r="BL544" i="2"/>
  <c r="BK544" i="2"/>
  <c r="BK543" i="2" s="1"/>
  <c r="BJ544" i="2"/>
  <c r="BJ543" i="2" s="1"/>
  <c r="BI544" i="2"/>
  <c r="BH544" i="2"/>
  <c r="BH543" i="2" s="1"/>
  <c r="BG544" i="2"/>
  <c r="BF544" i="2"/>
  <c r="BE544" i="2"/>
  <c r="BE543" i="2" s="1"/>
  <c r="BD544" i="2"/>
  <c r="BD543" i="2" s="1"/>
  <c r="BC544" i="2"/>
  <c r="BB544" i="2"/>
  <c r="BB543" i="2" s="1"/>
  <c r="BA544" i="2"/>
  <c r="AZ544" i="2"/>
  <c r="AY544" i="2"/>
  <c r="AY543" i="2" s="1"/>
  <c r="AX544" i="2"/>
  <c r="AX543" i="2" s="1"/>
  <c r="AW544" i="2"/>
  <c r="AV544" i="2"/>
  <c r="AV543" i="2" s="1"/>
  <c r="AU544" i="2"/>
  <c r="AT544" i="2"/>
  <c r="AS544" i="2"/>
  <c r="AS543" i="2" s="1"/>
  <c r="AR544" i="2"/>
  <c r="AR543" i="2" s="1"/>
  <c r="AQ544" i="2"/>
  <c r="AP544" i="2"/>
  <c r="AP543" i="2" s="1"/>
  <c r="AO544" i="2"/>
  <c r="AN544" i="2"/>
  <c r="AM544" i="2"/>
  <c r="AM543" i="2" s="1"/>
  <c r="AL544" i="2"/>
  <c r="AL543" i="2" s="1"/>
  <c r="AK544" i="2"/>
  <c r="AJ544" i="2"/>
  <c r="AJ543" i="2" s="1"/>
  <c r="AI544" i="2"/>
  <c r="AH544" i="2"/>
  <c r="AG544" i="2"/>
  <c r="AG543" i="2" s="1"/>
  <c r="AF544" i="2"/>
  <c r="AF543" i="2" s="1"/>
  <c r="AE544" i="2"/>
  <c r="AD544" i="2"/>
  <c r="AD543" i="2" s="1"/>
  <c r="AC544" i="2"/>
  <c r="AB544" i="2"/>
  <c r="AA544" i="2"/>
  <c r="AA543" i="2" s="1"/>
  <c r="R544" i="2"/>
  <c r="N544" i="2"/>
  <c r="M544" i="2"/>
  <c r="L544" i="2"/>
  <c r="K544" i="2"/>
  <c r="K543" i="2" s="1"/>
  <c r="H544" i="2"/>
  <c r="F544" i="2"/>
  <c r="E544" i="2"/>
  <c r="BL543" i="2"/>
  <c r="BI543" i="2"/>
  <c r="BC543" i="2"/>
  <c r="BA543" i="2"/>
  <c r="AW543" i="2"/>
  <c r="AT543" i="2"/>
  <c r="AQ543" i="2"/>
  <c r="AO543" i="2"/>
  <c r="AO530" i="2" s="1"/>
  <c r="AK543" i="2"/>
  <c r="AE543" i="2"/>
  <c r="AB543" i="2"/>
  <c r="N543" i="2"/>
  <c r="E543" i="2"/>
  <c r="BR542" i="2"/>
  <c r="BR541" i="2" s="1"/>
  <c r="BO542" i="2"/>
  <c r="BO541" i="2" s="1"/>
  <c r="Z542" i="2"/>
  <c r="Y542" i="2"/>
  <c r="T542" i="2"/>
  <c r="S542" i="2"/>
  <c r="V542" i="2" s="1"/>
  <c r="R542" i="2"/>
  <c r="R541" i="2" s="1"/>
  <c r="Q542" i="2"/>
  <c r="W542" i="2" s="1"/>
  <c r="W541" i="2" s="1"/>
  <c r="P542" i="2"/>
  <c r="P541" i="2" s="1"/>
  <c r="Y541" i="2" s="1"/>
  <c r="O542" i="2"/>
  <c r="G542" i="2"/>
  <c r="BM541" i="2"/>
  <c r="BM531" i="2" s="1"/>
  <c r="BL541" i="2"/>
  <c r="BK541" i="2"/>
  <c r="BJ541" i="2"/>
  <c r="BI541" i="2"/>
  <c r="BH541" i="2"/>
  <c r="BG541" i="2"/>
  <c r="BF541" i="2"/>
  <c r="BE541" i="2"/>
  <c r="BD541" i="2"/>
  <c r="BC541" i="2"/>
  <c r="BB541" i="2"/>
  <c r="BA541" i="2"/>
  <c r="AZ541" i="2"/>
  <c r="AY541" i="2"/>
  <c r="AX541" i="2"/>
  <c r="AW541" i="2"/>
  <c r="AV541" i="2"/>
  <c r="AU541" i="2"/>
  <c r="AU531" i="2" s="1"/>
  <c r="AT541" i="2"/>
  <c r="AS541" i="2"/>
  <c r="AR541" i="2"/>
  <c r="AR531" i="2" s="1"/>
  <c r="AR530" i="2" s="1"/>
  <c r="AQ541" i="2"/>
  <c r="AP541" i="2"/>
  <c r="AO541" i="2"/>
  <c r="AO531" i="2" s="1"/>
  <c r="AN541" i="2"/>
  <c r="AM541" i="2"/>
  <c r="AL541" i="2"/>
  <c r="AK541" i="2"/>
  <c r="AJ541" i="2"/>
  <c r="AI541" i="2"/>
  <c r="AH541" i="2"/>
  <c r="AG541" i="2"/>
  <c r="AF541" i="2"/>
  <c r="AE541" i="2"/>
  <c r="AD541" i="2"/>
  <c r="AC541" i="2"/>
  <c r="AC531" i="2" s="1"/>
  <c r="AB541" i="2"/>
  <c r="AA541" i="2"/>
  <c r="Z541" i="2"/>
  <c r="T541" i="2"/>
  <c r="Q541" i="2"/>
  <c r="N541" i="2"/>
  <c r="M541" i="2"/>
  <c r="L541" i="2"/>
  <c r="K541" i="2"/>
  <c r="H541" i="2"/>
  <c r="G541" i="2"/>
  <c r="I541" i="2" s="1"/>
  <c r="F541" i="2"/>
  <c r="E541" i="2"/>
  <c r="BO540" i="2"/>
  <c r="Z540" i="2"/>
  <c r="T540" i="2"/>
  <c r="S540" i="2"/>
  <c r="R540" i="2"/>
  <c r="R539" i="2" s="1"/>
  <c r="Q540" i="2"/>
  <c r="W540" i="2" s="1"/>
  <c r="BR540" i="2" s="1"/>
  <c r="P540" i="2"/>
  <c r="Y540" i="2" s="1"/>
  <c r="O540" i="2"/>
  <c r="G540" i="2"/>
  <c r="BR539" i="2"/>
  <c r="BO539" i="2"/>
  <c r="BM539" i="2"/>
  <c r="BL539" i="2"/>
  <c r="BK539" i="2"/>
  <c r="BJ539" i="2"/>
  <c r="BI539" i="2"/>
  <c r="BH539" i="2"/>
  <c r="BG539" i="2"/>
  <c r="BF539" i="2"/>
  <c r="BE539" i="2"/>
  <c r="BD539" i="2"/>
  <c r="BC539" i="2"/>
  <c r="BB539" i="2"/>
  <c r="BA539" i="2"/>
  <c r="AZ539" i="2"/>
  <c r="AY539" i="2"/>
  <c r="AX539" i="2"/>
  <c r="AW539" i="2"/>
  <c r="AV539" i="2"/>
  <c r="AU539" i="2"/>
  <c r="AT539" i="2"/>
  <c r="AS539" i="2"/>
  <c r="AR539" i="2"/>
  <c r="AQ539" i="2"/>
  <c r="AP539" i="2"/>
  <c r="AO539" i="2"/>
  <c r="AN539" i="2"/>
  <c r="AM539" i="2"/>
  <c r="AL539" i="2"/>
  <c r="AK539" i="2"/>
  <c r="AJ539" i="2"/>
  <c r="AI539" i="2"/>
  <c r="AH539" i="2"/>
  <c r="AG539" i="2"/>
  <c r="AF539" i="2"/>
  <c r="AE539" i="2"/>
  <c r="AD539" i="2"/>
  <c r="AC539" i="2"/>
  <c r="AB539" i="2"/>
  <c r="AA539" i="2"/>
  <c r="Z539" i="2"/>
  <c r="W539" i="2"/>
  <c r="T539" i="2"/>
  <c r="Q539" i="2"/>
  <c r="N539" i="2"/>
  <c r="M539" i="2"/>
  <c r="L539" i="2"/>
  <c r="K539" i="2"/>
  <c r="H539" i="2"/>
  <c r="G539" i="2"/>
  <c r="I539" i="2" s="1"/>
  <c r="F539" i="2"/>
  <c r="E539" i="2"/>
  <c r="BU538" i="2"/>
  <c r="BR538" i="2"/>
  <c r="BO538" i="2"/>
  <c r="BN538" i="2"/>
  <c r="BP538" i="2" s="1"/>
  <c r="Z538" i="2"/>
  <c r="Y538" i="2"/>
  <c r="X538" i="2"/>
  <c r="T538" i="2"/>
  <c r="S538" i="2"/>
  <c r="V538" i="2" s="1"/>
  <c r="BT538" i="2" s="1"/>
  <c r="R538" i="2"/>
  <c r="Q538" i="2"/>
  <c r="W538" i="2" s="1"/>
  <c r="P538" i="2"/>
  <c r="O538" i="2"/>
  <c r="U538" i="2" s="1"/>
  <c r="BQ538" i="2" s="1"/>
  <c r="G538" i="2"/>
  <c r="BO537" i="2"/>
  <c r="AP537" i="2"/>
  <c r="AM537" i="2"/>
  <c r="AG537" i="2"/>
  <c r="W537" i="2"/>
  <c r="BR537" i="2" s="1"/>
  <c r="V537" i="2"/>
  <c r="BT537" i="2" s="1"/>
  <c r="T537" i="2"/>
  <c r="T535" i="2" s="1"/>
  <c r="S537" i="2"/>
  <c r="Q537" i="2"/>
  <c r="Z537" i="2" s="1"/>
  <c r="P537" i="2"/>
  <c r="Y537" i="2" s="1"/>
  <c r="K537" i="2"/>
  <c r="G537" i="2"/>
  <c r="BO536" i="2"/>
  <c r="Z536" i="2"/>
  <c r="Y536" i="2"/>
  <c r="X536" i="2"/>
  <c r="T536" i="2"/>
  <c r="S536" i="2"/>
  <c r="V536" i="2" s="1"/>
  <c r="R536" i="2"/>
  <c r="Q536" i="2"/>
  <c r="W536" i="2" s="1"/>
  <c r="BR536" i="2" s="1"/>
  <c r="BR535" i="2" s="1"/>
  <c r="P536" i="2"/>
  <c r="O536" i="2"/>
  <c r="G536" i="2"/>
  <c r="E536" i="2"/>
  <c r="BM535" i="2"/>
  <c r="BL535" i="2"/>
  <c r="BK535" i="2"/>
  <c r="BJ535" i="2"/>
  <c r="BI535" i="2"/>
  <c r="BH535" i="2"/>
  <c r="BH531" i="2" s="1"/>
  <c r="BG535" i="2"/>
  <c r="BF535" i="2"/>
  <c r="BE535" i="2"/>
  <c r="BD535" i="2"/>
  <c r="BC535" i="2"/>
  <c r="BB535" i="2"/>
  <c r="BA535" i="2"/>
  <c r="AZ535" i="2"/>
  <c r="AY535" i="2"/>
  <c r="AX535" i="2"/>
  <c r="AW535" i="2"/>
  <c r="AV535" i="2"/>
  <c r="AU535" i="2"/>
  <c r="AT535" i="2"/>
  <c r="AS535" i="2"/>
  <c r="AR535" i="2"/>
  <c r="AQ535" i="2"/>
  <c r="AP535" i="2"/>
  <c r="AP531" i="2" s="1"/>
  <c r="AP530" i="2" s="1"/>
  <c r="AO535" i="2"/>
  <c r="AN535" i="2"/>
  <c r="AL535" i="2"/>
  <c r="AK535" i="2"/>
  <c r="AJ535" i="2"/>
  <c r="AI535" i="2"/>
  <c r="AH535" i="2"/>
  <c r="AG535" i="2"/>
  <c r="AF535" i="2"/>
  <c r="AE535" i="2"/>
  <c r="AD535" i="2"/>
  <c r="AC535" i="2"/>
  <c r="AB535" i="2"/>
  <c r="AA535" i="2"/>
  <c r="Q535" i="2"/>
  <c r="Z535" i="2" s="1"/>
  <c r="N535" i="2"/>
  <c r="M535" i="2"/>
  <c r="L535" i="2"/>
  <c r="H535" i="2"/>
  <c r="F535" i="2"/>
  <c r="E535" i="2"/>
  <c r="BR534" i="2"/>
  <c r="BO534" i="2"/>
  <c r="Z534" i="2"/>
  <c r="W534" i="2"/>
  <c r="V534" i="2"/>
  <c r="BT534" i="2" s="1"/>
  <c r="T534" i="2"/>
  <c r="T532" i="2" s="1"/>
  <c r="T531" i="2" s="1"/>
  <c r="S534" i="2"/>
  <c r="R534" i="2"/>
  <c r="Q534" i="2"/>
  <c r="P534" i="2"/>
  <c r="Y534" i="2" s="1"/>
  <c r="O534" i="2"/>
  <c r="X534" i="2" s="1"/>
  <c r="J534" i="2"/>
  <c r="I534" i="2"/>
  <c r="G534" i="2"/>
  <c r="BT533" i="2"/>
  <c r="BT532" i="2" s="1"/>
  <c r="V533" i="2"/>
  <c r="T533" i="2"/>
  <c r="S533" i="2"/>
  <c r="R533" i="2"/>
  <c r="R532" i="2" s="1"/>
  <c r="Q533" i="2"/>
  <c r="P533" i="2"/>
  <c r="Y533" i="2" s="1"/>
  <c r="O533" i="2"/>
  <c r="G533" i="2"/>
  <c r="I533" i="2" s="1"/>
  <c r="BM532" i="2"/>
  <c r="BL532" i="2"/>
  <c r="BK532" i="2"/>
  <c r="BJ532" i="2"/>
  <c r="BI532" i="2"/>
  <c r="BH532" i="2"/>
  <c r="BG532" i="2"/>
  <c r="BF532" i="2"/>
  <c r="BE532" i="2"/>
  <c r="BE531" i="2" s="1"/>
  <c r="BD532" i="2"/>
  <c r="BC532" i="2"/>
  <c r="BC531" i="2" s="1"/>
  <c r="BC530" i="2" s="1"/>
  <c r="BB532" i="2"/>
  <c r="BB531" i="2" s="1"/>
  <c r="BB530" i="2" s="1"/>
  <c r="BB529" i="2" s="1"/>
  <c r="BA532" i="2"/>
  <c r="AZ532" i="2"/>
  <c r="AY532" i="2"/>
  <c r="AX532" i="2"/>
  <c r="AW532" i="2"/>
  <c r="AV532" i="2"/>
  <c r="AV531" i="2" s="1"/>
  <c r="AV530" i="2" s="1"/>
  <c r="AV529" i="2" s="1"/>
  <c r="AU532" i="2"/>
  <c r="AT532" i="2"/>
  <c r="AS532" i="2"/>
  <c r="AS531" i="2" s="1"/>
  <c r="AR532" i="2"/>
  <c r="AQ532" i="2"/>
  <c r="AQ531" i="2" s="1"/>
  <c r="AQ530" i="2" s="1"/>
  <c r="AP532" i="2"/>
  <c r="AO532" i="2"/>
  <c r="AN532" i="2"/>
  <c r="AM532" i="2"/>
  <c r="AL532" i="2"/>
  <c r="AK532" i="2"/>
  <c r="AJ532" i="2"/>
  <c r="AJ531" i="2" s="1"/>
  <c r="AJ530" i="2" s="1"/>
  <c r="AI532" i="2"/>
  <c r="AH532" i="2"/>
  <c r="AG532" i="2"/>
  <c r="AG531" i="2" s="1"/>
  <c r="AF532" i="2"/>
  <c r="AE532" i="2"/>
  <c r="AD532" i="2"/>
  <c r="AC532" i="2"/>
  <c r="AB532" i="2"/>
  <c r="AA532" i="2"/>
  <c r="V532" i="2"/>
  <c r="S532" i="2"/>
  <c r="P532" i="2"/>
  <c r="N532" i="2"/>
  <c r="M532" i="2"/>
  <c r="L532" i="2"/>
  <c r="K532" i="2"/>
  <c r="H532" i="2"/>
  <c r="F532" i="2"/>
  <c r="E532" i="2"/>
  <c r="BK531" i="2"/>
  <c r="BK530" i="2" s="1"/>
  <c r="BI531" i="2"/>
  <c r="BI530" i="2" s="1"/>
  <c r="BG531" i="2"/>
  <c r="BA531" i="2"/>
  <c r="AY531" i="2"/>
  <c r="AW531" i="2"/>
  <c r="AW530" i="2" s="1"/>
  <c r="AK531" i="2"/>
  <c r="AK530" i="2" s="1"/>
  <c r="AI531" i="2"/>
  <c r="AE531" i="2"/>
  <c r="AE530" i="2" s="1"/>
  <c r="AD531" i="2"/>
  <c r="AD530" i="2" s="1"/>
  <c r="AA531" i="2"/>
  <c r="M531" i="2"/>
  <c r="M530" i="2" s="1"/>
  <c r="H531" i="2"/>
  <c r="F531" i="2"/>
  <c r="AC530" i="2"/>
  <c r="BT527" i="2"/>
  <c r="BO527" i="2"/>
  <c r="BN527" i="2"/>
  <c r="Z527" i="2"/>
  <c r="X527" i="2"/>
  <c r="V527" i="2"/>
  <c r="T527" i="2"/>
  <c r="T526" i="2" s="1"/>
  <c r="S527" i="2"/>
  <c r="R527" i="2"/>
  <c r="R526" i="2" s="1"/>
  <c r="Q527" i="2"/>
  <c r="W527" i="2" s="1"/>
  <c r="P527" i="2"/>
  <c r="Y527" i="2" s="1"/>
  <c r="O527" i="2"/>
  <c r="O526" i="2" s="1"/>
  <c r="G527" i="2"/>
  <c r="BT526" i="2"/>
  <c r="BO526" i="2"/>
  <c r="BM526" i="2"/>
  <c r="BL526" i="2"/>
  <c r="BK526" i="2"/>
  <c r="BJ526" i="2"/>
  <c r="BI526" i="2"/>
  <c r="BH526" i="2"/>
  <c r="BG526" i="2"/>
  <c r="BF526" i="2"/>
  <c r="BE526" i="2"/>
  <c r="BD526" i="2"/>
  <c r="BC526" i="2"/>
  <c r="BB526" i="2"/>
  <c r="BA526" i="2"/>
  <c r="AZ526" i="2"/>
  <c r="AY526" i="2"/>
  <c r="AX526" i="2"/>
  <c r="AW526" i="2"/>
  <c r="AV526" i="2"/>
  <c r="AU526" i="2"/>
  <c r="AT526" i="2"/>
  <c r="AS526" i="2"/>
  <c r="AR526" i="2"/>
  <c r="AQ526" i="2"/>
  <c r="AP526" i="2"/>
  <c r="AO526" i="2"/>
  <c r="AN526" i="2"/>
  <c r="AM526" i="2"/>
  <c r="AL526" i="2"/>
  <c r="AK526" i="2"/>
  <c r="AJ526" i="2"/>
  <c r="AI526" i="2"/>
  <c r="AH526" i="2"/>
  <c r="AG526" i="2"/>
  <c r="AF526" i="2"/>
  <c r="AE526" i="2"/>
  <c r="AD526" i="2"/>
  <c r="AC526" i="2"/>
  <c r="AB526" i="2"/>
  <c r="AA526" i="2"/>
  <c r="Z526" i="2"/>
  <c r="X526" i="2"/>
  <c r="V526" i="2"/>
  <c r="S526" i="2"/>
  <c r="Q526" i="2"/>
  <c r="P526" i="2"/>
  <c r="Y526" i="2" s="1"/>
  <c r="N526" i="2"/>
  <c r="M526" i="2"/>
  <c r="L526" i="2"/>
  <c r="K526" i="2"/>
  <c r="H526" i="2"/>
  <c r="F526" i="2"/>
  <c r="F515" i="2" s="1"/>
  <c r="E526" i="2"/>
  <c r="BT525" i="2"/>
  <c r="BO525" i="2"/>
  <c r="Z525" i="2"/>
  <c r="V525" i="2"/>
  <c r="T525" i="2"/>
  <c r="T524" i="2" s="1"/>
  <c r="S525" i="2"/>
  <c r="R525" i="2"/>
  <c r="R524" i="2" s="1"/>
  <c r="Q525" i="2"/>
  <c r="W525" i="2" s="1"/>
  <c r="P525" i="2"/>
  <c r="Y525" i="2" s="1"/>
  <c r="O525" i="2"/>
  <c r="O524" i="2" s="1"/>
  <c r="J525" i="2"/>
  <c r="G525" i="2"/>
  <c r="I525" i="2" s="1"/>
  <c r="BT524" i="2"/>
  <c r="BO524" i="2"/>
  <c r="BM524" i="2"/>
  <c r="BL524" i="2"/>
  <c r="BK524" i="2"/>
  <c r="BJ524" i="2"/>
  <c r="BI524" i="2"/>
  <c r="BH524" i="2"/>
  <c r="BG524" i="2"/>
  <c r="BF524" i="2"/>
  <c r="BE524" i="2"/>
  <c r="BD524" i="2"/>
  <c r="BC524" i="2"/>
  <c r="BB524" i="2"/>
  <c r="BB515" i="2" s="1"/>
  <c r="BA524" i="2"/>
  <c r="AZ524" i="2"/>
  <c r="AY524" i="2"/>
  <c r="AX524" i="2"/>
  <c r="AW524" i="2"/>
  <c r="AV524" i="2"/>
  <c r="AU524" i="2"/>
  <c r="AT524" i="2"/>
  <c r="AS524" i="2"/>
  <c r="AR524" i="2"/>
  <c r="AQ524" i="2"/>
  <c r="AP524" i="2"/>
  <c r="AP515" i="2" s="1"/>
  <c r="AO524" i="2"/>
  <c r="AN524" i="2"/>
  <c r="AM524" i="2"/>
  <c r="AL524" i="2"/>
  <c r="AK524" i="2"/>
  <c r="AJ524" i="2"/>
  <c r="AI524" i="2"/>
  <c r="AH524" i="2"/>
  <c r="AG524" i="2"/>
  <c r="AF524" i="2"/>
  <c r="AE524" i="2"/>
  <c r="AD524" i="2"/>
  <c r="AD515" i="2" s="1"/>
  <c r="AC524" i="2"/>
  <c r="AB524" i="2"/>
  <c r="AA524" i="2"/>
  <c r="Z524" i="2"/>
  <c r="X524" i="2"/>
  <c r="V524" i="2"/>
  <c r="S524" i="2"/>
  <c r="Q524" i="2"/>
  <c r="P524" i="2"/>
  <c r="Y524" i="2" s="1"/>
  <c r="N524" i="2"/>
  <c r="M524" i="2"/>
  <c r="L524" i="2"/>
  <c r="L515" i="2" s="1"/>
  <c r="K524" i="2"/>
  <c r="H524" i="2"/>
  <c r="G524" i="2"/>
  <c r="F524" i="2"/>
  <c r="E524" i="2"/>
  <c r="BT523" i="2"/>
  <c r="BO523" i="2"/>
  <c r="Z523" i="2"/>
  <c r="V523" i="2"/>
  <c r="T523" i="2"/>
  <c r="T522" i="2" s="1"/>
  <c r="S523" i="2"/>
  <c r="R523" i="2"/>
  <c r="Q523" i="2"/>
  <c r="W523" i="2" s="1"/>
  <c r="P523" i="2"/>
  <c r="Y523" i="2" s="1"/>
  <c r="O523" i="2"/>
  <c r="J523" i="2"/>
  <c r="G523" i="2"/>
  <c r="I523" i="2" s="1"/>
  <c r="BT522" i="2"/>
  <c r="BO522" i="2"/>
  <c r="BM522" i="2"/>
  <c r="BL522" i="2"/>
  <c r="BK522" i="2"/>
  <c r="BJ522" i="2"/>
  <c r="BI522" i="2"/>
  <c r="BH522" i="2"/>
  <c r="BH515" i="2" s="1"/>
  <c r="BG522" i="2"/>
  <c r="BF522" i="2"/>
  <c r="BE522" i="2"/>
  <c r="BD522" i="2"/>
  <c r="BC522" i="2"/>
  <c r="BB522" i="2"/>
  <c r="BA522" i="2"/>
  <c r="AZ522" i="2"/>
  <c r="AY522" i="2"/>
  <c r="AX522" i="2"/>
  <c r="AW522" i="2"/>
  <c r="AV522" i="2"/>
  <c r="AV515" i="2" s="1"/>
  <c r="AU522" i="2"/>
  <c r="AT522" i="2"/>
  <c r="AS522" i="2"/>
  <c r="AR522" i="2"/>
  <c r="AQ522" i="2"/>
  <c r="AP522" i="2"/>
  <c r="AO522" i="2"/>
  <c r="AN522" i="2"/>
  <c r="AM522" i="2"/>
  <c r="AL522" i="2"/>
  <c r="AK522" i="2"/>
  <c r="AJ522" i="2"/>
  <c r="AJ515" i="2" s="1"/>
  <c r="AI522" i="2"/>
  <c r="AH522" i="2"/>
  <c r="AG522" i="2"/>
  <c r="AF522" i="2"/>
  <c r="AE522" i="2"/>
  <c r="AD522" i="2"/>
  <c r="AC522" i="2"/>
  <c r="AB522" i="2"/>
  <c r="AA522" i="2"/>
  <c r="Z522" i="2"/>
  <c r="Y522" i="2"/>
  <c r="V522" i="2"/>
  <c r="S522" i="2"/>
  <c r="R522" i="2"/>
  <c r="Q522" i="2"/>
  <c r="P522" i="2"/>
  <c r="N522" i="2"/>
  <c r="M522" i="2"/>
  <c r="L522" i="2"/>
  <c r="K522" i="2"/>
  <c r="J522" i="2"/>
  <c r="H522" i="2"/>
  <c r="G522" i="2"/>
  <c r="I522" i="2" s="1"/>
  <c r="F522" i="2"/>
  <c r="E522" i="2"/>
  <c r="BT521" i="2"/>
  <c r="BO521" i="2"/>
  <c r="Z521" i="2"/>
  <c r="X521" i="2"/>
  <c r="V521" i="2"/>
  <c r="T521" i="2"/>
  <c r="S521" i="2"/>
  <c r="R521" i="2"/>
  <c r="Q521" i="2"/>
  <c r="W521" i="2" s="1"/>
  <c r="BR521" i="2" s="1"/>
  <c r="P521" i="2"/>
  <c r="Y521" i="2" s="1"/>
  <c r="O521" i="2"/>
  <c r="U521" i="2" s="1"/>
  <c r="BQ521" i="2" s="1"/>
  <c r="BQ519" i="2" s="1"/>
  <c r="J521" i="2"/>
  <c r="G521" i="2"/>
  <c r="I521" i="2" s="1"/>
  <c r="BT520" i="2"/>
  <c r="BR520" i="2"/>
  <c r="BR519" i="2" s="1"/>
  <c r="BN520" i="2"/>
  <c r="AH520" i="2"/>
  <c r="X520" i="2"/>
  <c r="W520" i="2"/>
  <c r="W519" i="2" s="1"/>
  <c r="V520" i="2"/>
  <c r="V519" i="2" s="1"/>
  <c r="T520" i="2"/>
  <c r="T519" i="2" s="1"/>
  <c r="S520" i="2"/>
  <c r="R520" i="2"/>
  <c r="Q520" i="2"/>
  <c r="Q519" i="2" s="1"/>
  <c r="Z519" i="2" s="1"/>
  <c r="P520" i="2"/>
  <c r="O520" i="2"/>
  <c r="U520" i="2" s="1"/>
  <c r="BQ520" i="2" s="1"/>
  <c r="J520" i="2"/>
  <c r="G520" i="2"/>
  <c r="I520" i="2" s="1"/>
  <c r="BT519" i="2"/>
  <c r="BM519" i="2"/>
  <c r="BL519" i="2"/>
  <c r="BK519" i="2"/>
  <c r="BK515" i="2" s="1"/>
  <c r="BJ519" i="2"/>
  <c r="BJ515" i="2" s="1"/>
  <c r="BI519" i="2"/>
  <c r="BH519" i="2"/>
  <c r="BG519" i="2"/>
  <c r="BF519" i="2"/>
  <c r="BE519" i="2"/>
  <c r="BE515" i="2" s="1"/>
  <c r="BD519" i="2"/>
  <c r="BC519" i="2"/>
  <c r="BB519" i="2"/>
  <c r="BA519" i="2"/>
  <c r="AZ519" i="2"/>
  <c r="AY519" i="2"/>
  <c r="AY515" i="2" s="1"/>
  <c r="AX519" i="2"/>
  <c r="AX515" i="2" s="1"/>
  <c r="AW519" i="2"/>
  <c r="AV519" i="2"/>
  <c r="AU519" i="2"/>
  <c r="AT519" i="2"/>
  <c r="AS519" i="2"/>
  <c r="AS515" i="2" s="1"/>
  <c r="AR519" i="2"/>
  <c r="AQ519" i="2"/>
  <c r="AP519" i="2"/>
  <c r="AO519" i="2"/>
  <c r="AN519" i="2"/>
  <c r="AM519" i="2"/>
  <c r="AM515" i="2" s="1"/>
  <c r="AL519" i="2"/>
  <c r="AL515" i="2" s="1"/>
  <c r="AK519" i="2"/>
  <c r="AJ519" i="2"/>
  <c r="AI519" i="2"/>
  <c r="AH519" i="2"/>
  <c r="AG519" i="2"/>
  <c r="AG515" i="2" s="1"/>
  <c r="AF519" i="2"/>
  <c r="AE519" i="2"/>
  <c r="AD519" i="2"/>
  <c r="AC519" i="2"/>
  <c r="AB519" i="2"/>
  <c r="AA519" i="2"/>
  <c r="AA515" i="2" s="1"/>
  <c r="S519" i="2"/>
  <c r="R519" i="2"/>
  <c r="O519" i="2"/>
  <c r="X519" i="2" s="1"/>
  <c r="N519" i="2"/>
  <c r="N515" i="2" s="1"/>
  <c r="M519" i="2"/>
  <c r="L519" i="2"/>
  <c r="K519" i="2"/>
  <c r="H519" i="2"/>
  <c r="F519" i="2"/>
  <c r="E519" i="2"/>
  <c r="BO518" i="2"/>
  <c r="X518" i="2"/>
  <c r="W518" i="2"/>
  <c r="BR518" i="2" s="1"/>
  <c r="V518" i="2"/>
  <c r="T518" i="2"/>
  <c r="T516" i="2" s="1"/>
  <c r="S518" i="2"/>
  <c r="R518" i="2"/>
  <c r="Q518" i="2"/>
  <c r="Z518" i="2" s="1"/>
  <c r="P518" i="2"/>
  <c r="Y518" i="2" s="1"/>
  <c r="O518" i="2"/>
  <c r="BN518" i="2" s="1"/>
  <c r="BP518" i="2" s="1"/>
  <c r="J518" i="2"/>
  <c r="G518" i="2"/>
  <c r="I518" i="2" s="1"/>
  <c r="BT517" i="2"/>
  <c r="Y517" i="2"/>
  <c r="W517" i="2"/>
  <c r="T517" i="2"/>
  <c r="S517" i="2"/>
  <c r="V517" i="2" s="1"/>
  <c r="R517" i="2"/>
  <c r="R516" i="2" s="1"/>
  <c r="Q517" i="2"/>
  <c r="P517" i="2"/>
  <c r="O517" i="2"/>
  <c r="G517" i="2"/>
  <c r="BM516" i="2"/>
  <c r="BM515" i="2" s="1"/>
  <c r="BL516" i="2"/>
  <c r="BL515" i="2" s="1"/>
  <c r="BK516" i="2"/>
  <c r="BJ516" i="2"/>
  <c r="BI516" i="2"/>
  <c r="BH516" i="2"/>
  <c r="BG516" i="2"/>
  <c r="BG515" i="2" s="1"/>
  <c r="BF516" i="2"/>
  <c r="BF515" i="2" s="1"/>
  <c r="BE516" i="2"/>
  <c r="BD516" i="2"/>
  <c r="BC516" i="2"/>
  <c r="BB516" i="2"/>
  <c r="BA516" i="2"/>
  <c r="BA515" i="2" s="1"/>
  <c r="AZ516" i="2"/>
  <c r="AZ515" i="2" s="1"/>
  <c r="AY516" i="2"/>
  <c r="AX516" i="2"/>
  <c r="AW516" i="2"/>
  <c r="AV516" i="2"/>
  <c r="AU516" i="2"/>
  <c r="AU515" i="2" s="1"/>
  <c r="AT516" i="2"/>
  <c r="AT515" i="2" s="1"/>
  <c r="AS516" i="2"/>
  <c r="AR516" i="2"/>
  <c r="AQ516" i="2"/>
  <c r="AP516" i="2"/>
  <c r="AO516" i="2"/>
  <c r="AO515" i="2" s="1"/>
  <c r="AN516" i="2"/>
  <c r="AN515" i="2" s="1"/>
  <c r="AM516" i="2"/>
  <c r="AL516" i="2"/>
  <c r="AK516" i="2"/>
  <c r="AJ516" i="2"/>
  <c r="AI516" i="2"/>
  <c r="AI515" i="2" s="1"/>
  <c r="AH516" i="2"/>
  <c r="AH515" i="2" s="1"/>
  <c r="AG516" i="2"/>
  <c r="AF516" i="2"/>
  <c r="AE516" i="2"/>
  <c r="AD516" i="2"/>
  <c r="AC516" i="2"/>
  <c r="AC515" i="2" s="1"/>
  <c r="AB516" i="2"/>
  <c r="AB515" i="2" s="1"/>
  <c r="AA516" i="2"/>
  <c r="S516" i="2"/>
  <c r="S515" i="2" s="1"/>
  <c r="N516" i="2"/>
  <c r="M516" i="2"/>
  <c r="L516" i="2"/>
  <c r="K516" i="2"/>
  <c r="K515" i="2" s="1"/>
  <c r="H516" i="2"/>
  <c r="G516" i="2"/>
  <c r="F516" i="2"/>
  <c r="E516" i="2"/>
  <c r="E515" i="2" s="1"/>
  <c r="BD515" i="2"/>
  <c r="AR515" i="2"/>
  <c r="AF515" i="2"/>
  <c r="T515" i="2"/>
  <c r="H515" i="2"/>
  <c r="BO514" i="2"/>
  <c r="BP514" i="2" s="1"/>
  <c r="Z514" i="2"/>
  <c r="X514" i="2"/>
  <c r="V514" i="2"/>
  <c r="BT514" i="2" s="1"/>
  <c r="T514" i="2"/>
  <c r="S514" i="2"/>
  <c r="R514" i="2"/>
  <c r="Q514" i="2"/>
  <c r="W514" i="2" s="1"/>
  <c r="BR514" i="2" s="1"/>
  <c r="P514" i="2"/>
  <c r="Y514" i="2" s="1"/>
  <c r="O514" i="2"/>
  <c r="BN514" i="2" s="1"/>
  <c r="J514" i="2"/>
  <c r="G514" i="2"/>
  <c r="I514" i="2" s="1"/>
  <c r="BN513" i="2"/>
  <c r="Y513" i="2"/>
  <c r="X513" i="2"/>
  <c r="T513" i="2"/>
  <c r="S513" i="2"/>
  <c r="V513" i="2" s="1"/>
  <c r="BT513" i="2" s="1"/>
  <c r="R513" i="2"/>
  <c r="Q513" i="2"/>
  <c r="W513" i="2" s="1"/>
  <c r="BR513" i="2" s="1"/>
  <c r="P513" i="2"/>
  <c r="O513" i="2"/>
  <c r="U513" i="2" s="1"/>
  <c r="BQ513" i="2" s="1"/>
  <c r="G513" i="2"/>
  <c r="BU512" i="2"/>
  <c r="BO512" i="2"/>
  <c r="Z512" i="2"/>
  <c r="Y512" i="2"/>
  <c r="X512" i="2"/>
  <c r="V512" i="2"/>
  <c r="BT512" i="2" s="1"/>
  <c r="T512" i="2"/>
  <c r="S512" i="2"/>
  <c r="R512" i="2"/>
  <c r="Q512" i="2"/>
  <c r="W512" i="2" s="1"/>
  <c r="BR512" i="2" s="1"/>
  <c r="P512" i="2"/>
  <c r="O512" i="2"/>
  <c r="BN512" i="2" s="1"/>
  <c r="BP512" i="2" s="1"/>
  <c r="G512" i="2"/>
  <c r="J512" i="2" s="1"/>
  <c r="BT511" i="2"/>
  <c r="BN511" i="2"/>
  <c r="BP511" i="2" s="1"/>
  <c r="Z511" i="2"/>
  <c r="Y511" i="2"/>
  <c r="T511" i="2"/>
  <c r="S511" i="2"/>
  <c r="V511" i="2" s="1"/>
  <c r="R511" i="2"/>
  <c r="Q511" i="2"/>
  <c r="BO511" i="2" s="1"/>
  <c r="P511" i="2"/>
  <c r="O511" i="2"/>
  <c r="X511" i="2" s="1"/>
  <c r="J511" i="2"/>
  <c r="I511" i="2"/>
  <c r="G511" i="2"/>
  <c r="BO510" i="2"/>
  <c r="BN510" i="2"/>
  <c r="Z510" i="2"/>
  <c r="V510" i="2"/>
  <c r="BT510" i="2" s="1"/>
  <c r="T510" i="2"/>
  <c r="S510" i="2"/>
  <c r="R510" i="2"/>
  <c r="Q510" i="2"/>
  <c r="W510" i="2" s="1"/>
  <c r="BR510" i="2" s="1"/>
  <c r="P510" i="2"/>
  <c r="Y510" i="2" s="1"/>
  <c r="O510" i="2"/>
  <c r="X510" i="2" s="1"/>
  <c r="J510" i="2"/>
  <c r="G510" i="2"/>
  <c r="I510" i="2" s="1"/>
  <c r="BO509" i="2"/>
  <c r="V509" i="2"/>
  <c r="BT509" i="2" s="1"/>
  <c r="T509" i="2"/>
  <c r="S509" i="2"/>
  <c r="R509" i="2"/>
  <c r="Q509" i="2"/>
  <c r="Z509" i="2" s="1"/>
  <c r="P509" i="2"/>
  <c r="Y509" i="2" s="1"/>
  <c r="O509" i="2"/>
  <c r="I509" i="2"/>
  <c r="G509" i="2"/>
  <c r="J509" i="2" s="1"/>
  <c r="X508" i="2"/>
  <c r="W508" i="2"/>
  <c r="BR508" i="2" s="1"/>
  <c r="V508" i="2"/>
  <c r="BT508" i="2" s="1"/>
  <c r="T508" i="2"/>
  <c r="S508" i="2"/>
  <c r="R508" i="2"/>
  <c r="Q508" i="2"/>
  <c r="BO508" i="2" s="1"/>
  <c r="P508" i="2"/>
  <c r="Y508" i="2" s="1"/>
  <c r="O508" i="2"/>
  <c r="BN508" i="2" s="1"/>
  <c r="BP508" i="2" s="1"/>
  <c r="J508" i="2"/>
  <c r="G508" i="2"/>
  <c r="I508" i="2" s="1"/>
  <c r="BT507" i="2"/>
  <c r="Y507" i="2"/>
  <c r="X507" i="2"/>
  <c r="T507" i="2"/>
  <c r="S507" i="2"/>
  <c r="V507" i="2" s="1"/>
  <c r="R507" i="2"/>
  <c r="Q507" i="2"/>
  <c r="P507" i="2"/>
  <c r="O507" i="2"/>
  <c r="U507" i="2" s="1"/>
  <c r="BQ507" i="2" s="1"/>
  <c r="G507" i="2"/>
  <c r="J507" i="2" s="1"/>
  <c r="BU506" i="2"/>
  <c r="BO506" i="2"/>
  <c r="Z506" i="2"/>
  <c r="Y506" i="2"/>
  <c r="X506" i="2"/>
  <c r="V506" i="2"/>
  <c r="BT506" i="2" s="1"/>
  <c r="T506" i="2"/>
  <c r="S506" i="2"/>
  <c r="R506" i="2"/>
  <c r="Q506" i="2"/>
  <c r="W506" i="2" s="1"/>
  <c r="BR506" i="2" s="1"/>
  <c r="P506" i="2"/>
  <c r="O506" i="2"/>
  <c r="BN506" i="2" s="1"/>
  <c r="BP506" i="2" s="1"/>
  <c r="G506" i="2"/>
  <c r="J506" i="2" s="1"/>
  <c r="BT505" i="2"/>
  <c r="BN505" i="2"/>
  <c r="BP505" i="2" s="1"/>
  <c r="Z505" i="2"/>
  <c r="Y505" i="2"/>
  <c r="T505" i="2"/>
  <c r="S505" i="2"/>
  <c r="V505" i="2" s="1"/>
  <c r="R505" i="2"/>
  <c r="Q505" i="2"/>
  <c r="BO505" i="2" s="1"/>
  <c r="P505" i="2"/>
  <c r="O505" i="2"/>
  <c r="X505" i="2" s="1"/>
  <c r="J505" i="2"/>
  <c r="I505" i="2"/>
  <c r="G505" i="2"/>
  <c r="BO504" i="2"/>
  <c r="BN504" i="2"/>
  <c r="Z504" i="2"/>
  <c r="V504" i="2"/>
  <c r="BT504" i="2" s="1"/>
  <c r="T504" i="2"/>
  <c r="S504" i="2"/>
  <c r="R504" i="2"/>
  <c r="Q504" i="2"/>
  <c r="W504" i="2" s="1"/>
  <c r="BR504" i="2" s="1"/>
  <c r="P504" i="2"/>
  <c r="Y504" i="2" s="1"/>
  <c r="O504" i="2"/>
  <c r="X504" i="2" s="1"/>
  <c r="J504" i="2"/>
  <c r="G504" i="2"/>
  <c r="I504" i="2" s="1"/>
  <c r="BO503" i="2"/>
  <c r="V503" i="2"/>
  <c r="BT503" i="2" s="1"/>
  <c r="BT501" i="2" s="1"/>
  <c r="T503" i="2"/>
  <c r="S503" i="2"/>
  <c r="R503" i="2"/>
  <c r="Q503" i="2"/>
  <c r="Z503" i="2" s="1"/>
  <c r="P503" i="2"/>
  <c r="Y503" i="2" s="1"/>
  <c r="O503" i="2"/>
  <c r="I503" i="2"/>
  <c r="G503" i="2"/>
  <c r="J503" i="2" s="1"/>
  <c r="X502" i="2"/>
  <c r="W502" i="2"/>
  <c r="V502" i="2"/>
  <c r="BT502" i="2" s="1"/>
  <c r="T502" i="2"/>
  <c r="S502" i="2"/>
  <c r="R502" i="2"/>
  <c r="Q502" i="2"/>
  <c r="P502" i="2"/>
  <c r="O502" i="2"/>
  <c r="BN502" i="2" s="1"/>
  <c r="J502" i="2"/>
  <c r="G502" i="2"/>
  <c r="BM501" i="2"/>
  <c r="BL501" i="2"/>
  <c r="BK501" i="2"/>
  <c r="BK490" i="2" s="1"/>
  <c r="BJ501" i="2"/>
  <c r="BJ490" i="2" s="1"/>
  <c r="BJ489" i="2" s="1"/>
  <c r="BI501" i="2"/>
  <c r="BH501" i="2"/>
  <c r="BG501" i="2"/>
  <c r="BF501" i="2"/>
  <c r="BE501" i="2"/>
  <c r="BD501" i="2"/>
  <c r="BC501" i="2"/>
  <c r="BB501" i="2"/>
  <c r="BB490" i="2" s="1"/>
  <c r="BB489" i="2" s="1"/>
  <c r="BA501" i="2"/>
  <c r="AZ501" i="2"/>
  <c r="AZ490" i="2" s="1"/>
  <c r="AZ489" i="2" s="1"/>
  <c r="AY501" i="2"/>
  <c r="AX501" i="2"/>
  <c r="AW501" i="2"/>
  <c r="AV501" i="2"/>
  <c r="AU501" i="2"/>
  <c r="AT501" i="2"/>
  <c r="AS501" i="2"/>
  <c r="AS490" i="2" s="1"/>
  <c r="AS489" i="2" s="1"/>
  <c r="AR501" i="2"/>
  <c r="AQ501" i="2"/>
  <c r="AP501" i="2"/>
  <c r="AO501" i="2"/>
  <c r="AN501" i="2"/>
  <c r="AM501" i="2"/>
  <c r="AM490" i="2" s="1"/>
  <c r="AM489" i="2" s="1"/>
  <c r="AL501" i="2"/>
  <c r="AK501" i="2"/>
  <c r="AJ501" i="2"/>
  <c r="AI501" i="2"/>
  <c r="AH501" i="2"/>
  <c r="AH490" i="2" s="1"/>
  <c r="AH489" i="2" s="1"/>
  <c r="AG501" i="2"/>
  <c r="AG490" i="2" s="1"/>
  <c r="AG489" i="2" s="1"/>
  <c r="AF501" i="2"/>
  <c r="AE501" i="2"/>
  <c r="AD501" i="2"/>
  <c r="AC501" i="2"/>
  <c r="AB501" i="2"/>
  <c r="AB490" i="2" s="1"/>
  <c r="AA501" i="2"/>
  <c r="AA490" i="2" s="1"/>
  <c r="AA489" i="2" s="1"/>
  <c r="T501" i="2"/>
  <c r="R501" i="2"/>
  <c r="N501" i="2"/>
  <c r="M501" i="2"/>
  <c r="L501" i="2"/>
  <c r="L490" i="2" s="1"/>
  <c r="L489" i="2" s="1"/>
  <c r="Q146" i="3" s="1"/>
  <c r="K501" i="2"/>
  <c r="H501" i="2"/>
  <c r="F501" i="2"/>
  <c r="E501" i="2"/>
  <c r="BP500" i="2"/>
  <c r="BU500" i="2" s="1"/>
  <c r="BO500" i="2"/>
  <c r="Z500" i="2"/>
  <c r="X500" i="2"/>
  <c r="W500" i="2"/>
  <c r="BR500" i="2" s="1"/>
  <c r="V500" i="2"/>
  <c r="BT500" i="2" s="1"/>
  <c r="T500" i="2"/>
  <c r="S500" i="2"/>
  <c r="R500" i="2"/>
  <c r="Q500" i="2"/>
  <c r="P500" i="2"/>
  <c r="Y500" i="2" s="1"/>
  <c r="O500" i="2"/>
  <c r="BN500" i="2" s="1"/>
  <c r="J500" i="2"/>
  <c r="G500" i="2"/>
  <c r="I500" i="2" s="1"/>
  <c r="Y499" i="2"/>
  <c r="W499" i="2"/>
  <c r="BR499" i="2" s="1"/>
  <c r="T499" i="2"/>
  <c r="S499" i="2"/>
  <c r="V499" i="2" s="1"/>
  <c r="BT499" i="2" s="1"/>
  <c r="R499" i="2"/>
  <c r="Q499" i="2"/>
  <c r="P499" i="2"/>
  <c r="O499" i="2"/>
  <c r="I499" i="2"/>
  <c r="G499" i="2"/>
  <c r="J499" i="2" s="1"/>
  <c r="AQ498" i="2"/>
  <c r="P498" i="2" s="1"/>
  <c r="Y498" i="2"/>
  <c r="W498" i="2"/>
  <c r="BR498" i="2" s="1"/>
  <c r="U498" i="2"/>
  <c r="BQ498" i="2" s="1"/>
  <c r="T498" i="2"/>
  <c r="S498" i="2"/>
  <c r="V498" i="2" s="1"/>
  <c r="BT498" i="2" s="1"/>
  <c r="R498" i="2"/>
  <c r="Q498" i="2"/>
  <c r="BO498" i="2" s="1"/>
  <c r="O498" i="2"/>
  <c r="J498" i="2"/>
  <c r="I498" i="2"/>
  <c r="G498" i="2"/>
  <c r="BT497" i="2"/>
  <c r="BO497" i="2"/>
  <c r="Z497" i="2"/>
  <c r="X497" i="2"/>
  <c r="V497" i="2"/>
  <c r="T497" i="2"/>
  <c r="S497" i="2"/>
  <c r="R497" i="2"/>
  <c r="Q497" i="2"/>
  <c r="W497" i="2" s="1"/>
  <c r="BR497" i="2" s="1"/>
  <c r="BS497" i="2" s="1"/>
  <c r="BV497" i="2" s="1"/>
  <c r="P497" i="2"/>
  <c r="Y497" i="2" s="1"/>
  <c r="O497" i="2"/>
  <c r="U497" i="2" s="1"/>
  <c r="BQ497" i="2" s="1"/>
  <c r="G497" i="2"/>
  <c r="I497" i="2" s="1"/>
  <c r="BT496" i="2"/>
  <c r="BN496" i="2"/>
  <c r="AN496" i="2"/>
  <c r="Z496" i="2"/>
  <c r="X496" i="2"/>
  <c r="V496" i="2"/>
  <c r="T496" i="2"/>
  <c r="S496" i="2"/>
  <c r="R496" i="2"/>
  <c r="Q496" i="2"/>
  <c r="W496" i="2" s="1"/>
  <c r="BR496" i="2" s="1"/>
  <c r="P496" i="2"/>
  <c r="Y496" i="2" s="1"/>
  <c r="O496" i="2"/>
  <c r="U496" i="2" s="1"/>
  <c r="BQ496" i="2" s="1"/>
  <c r="G496" i="2"/>
  <c r="BN495" i="2"/>
  <c r="AN495" i="2"/>
  <c r="AK495" i="2"/>
  <c r="AH495" i="2"/>
  <c r="S495" i="2" s="1"/>
  <c r="Z495" i="2"/>
  <c r="V495" i="2"/>
  <c r="BT495" i="2" s="1"/>
  <c r="T495" i="2"/>
  <c r="R495" i="2"/>
  <c r="Q495" i="2"/>
  <c r="W495" i="2" s="1"/>
  <c r="BR495" i="2" s="1"/>
  <c r="P495" i="2"/>
  <c r="Y495" i="2" s="1"/>
  <c r="O495" i="2"/>
  <c r="J495" i="2"/>
  <c r="G495" i="2"/>
  <c r="I495" i="2" s="1"/>
  <c r="BT494" i="2"/>
  <c r="W494" i="2"/>
  <c r="BR494" i="2" s="1"/>
  <c r="V494" i="2"/>
  <c r="T494" i="2"/>
  <c r="S494" i="2"/>
  <c r="R494" i="2"/>
  <c r="Q494" i="2"/>
  <c r="P494" i="2"/>
  <c r="Y494" i="2" s="1"/>
  <c r="O494" i="2"/>
  <c r="X494" i="2" s="1"/>
  <c r="I494" i="2"/>
  <c r="G494" i="2"/>
  <c r="J494" i="2" s="1"/>
  <c r="X493" i="2"/>
  <c r="V493" i="2"/>
  <c r="BT493" i="2" s="1"/>
  <c r="T493" i="2"/>
  <c r="S493" i="2"/>
  <c r="R493" i="2"/>
  <c r="Q493" i="2"/>
  <c r="P493" i="2"/>
  <c r="Y493" i="2" s="1"/>
  <c r="O493" i="2"/>
  <c r="BN493" i="2" s="1"/>
  <c r="G493" i="2"/>
  <c r="I493" i="2" s="1"/>
  <c r="BN492" i="2"/>
  <c r="Y492" i="2"/>
  <c r="X492" i="2"/>
  <c r="T492" i="2"/>
  <c r="S492" i="2"/>
  <c r="R492" i="2"/>
  <c r="R491" i="2" s="1"/>
  <c r="R490" i="2" s="1"/>
  <c r="R489" i="2" s="1"/>
  <c r="Q492" i="2"/>
  <c r="W492" i="2" s="1"/>
  <c r="P492" i="2"/>
  <c r="O492" i="2"/>
  <c r="U492" i="2" s="1"/>
  <c r="BQ492" i="2" s="1"/>
  <c r="G492" i="2"/>
  <c r="BM491" i="2"/>
  <c r="BM490" i="2" s="1"/>
  <c r="BM489" i="2" s="1"/>
  <c r="BL491" i="2"/>
  <c r="BK491" i="2"/>
  <c r="BJ491" i="2"/>
  <c r="BI491" i="2"/>
  <c r="BI490" i="2" s="1"/>
  <c r="BI489" i="2" s="1"/>
  <c r="BH491" i="2"/>
  <c r="BG491" i="2"/>
  <c r="BG490" i="2" s="1"/>
  <c r="BG489" i="2" s="1"/>
  <c r="BF491" i="2"/>
  <c r="BE491" i="2"/>
  <c r="BD491" i="2"/>
  <c r="BC491" i="2"/>
  <c r="BC490" i="2" s="1"/>
  <c r="BC489" i="2" s="1"/>
  <c r="BB491" i="2"/>
  <c r="BA491" i="2"/>
  <c r="BA490" i="2" s="1"/>
  <c r="BA489" i="2" s="1"/>
  <c r="AZ491" i="2"/>
  <c r="AY491" i="2"/>
  <c r="AX491" i="2"/>
  <c r="AW491" i="2"/>
  <c r="AW490" i="2" s="1"/>
  <c r="AV491" i="2"/>
  <c r="AU491" i="2"/>
  <c r="AU490" i="2" s="1"/>
  <c r="AU489" i="2" s="1"/>
  <c r="AT491" i="2"/>
  <c r="AS491" i="2"/>
  <c r="AR491" i="2"/>
  <c r="AQ491" i="2"/>
  <c r="AQ490" i="2" s="1"/>
  <c r="AP491" i="2"/>
  <c r="AO491" i="2"/>
  <c r="AO490" i="2" s="1"/>
  <c r="AO489" i="2" s="1"/>
  <c r="AN491" i="2"/>
  <c r="AM491" i="2"/>
  <c r="AL491" i="2"/>
  <c r="AK491" i="2"/>
  <c r="AK490" i="2" s="1"/>
  <c r="AJ491" i="2"/>
  <c r="AI491" i="2"/>
  <c r="AI490" i="2" s="1"/>
  <c r="AI489" i="2" s="1"/>
  <c r="AH491" i="2"/>
  <c r="AG491" i="2"/>
  <c r="AF491" i="2"/>
  <c r="AE491" i="2"/>
  <c r="AE490" i="2" s="1"/>
  <c r="AE489" i="2" s="1"/>
  <c r="AD491" i="2"/>
  <c r="AC491" i="2"/>
  <c r="AC490" i="2" s="1"/>
  <c r="AC489" i="2" s="1"/>
  <c r="AB491" i="2"/>
  <c r="AA491" i="2"/>
  <c r="N491" i="2"/>
  <c r="M491" i="2"/>
  <c r="M490" i="2" s="1"/>
  <c r="M489" i="2" s="1"/>
  <c r="L491" i="2"/>
  <c r="K491" i="2"/>
  <c r="H491" i="2"/>
  <c r="G491" i="2"/>
  <c r="F491" i="2"/>
  <c r="E491" i="2"/>
  <c r="BL490" i="2"/>
  <c r="BL489" i="2" s="1"/>
  <c r="BH490" i="2"/>
  <c r="BH489" i="2" s="1"/>
  <c r="BF490" i="2"/>
  <c r="BF489" i="2" s="1"/>
  <c r="BE490" i="2"/>
  <c r="BD490" i="2"/>
  <c r="AY490" i="2"/>
  <c r="AY489" i="2" s="1"/>
  <c r="AX490" i="2"/>
  <c r="AX489" i="2" s="1"/>
  <c r="AV490" i="2"/>
  <c r="AV489" i="2" s="1"/>
  <c r="AR490" i="2"/>
  <c r="AR489" i="2" s="1"/>
  <c r="AP490" i="2"/>
  <c r="AP489" i="2" s="1"/>
  <c r="AL490" i="2"/>
  <c r="AL489" i="2" s="1"/>
  <c r="AJ490" i="2"/>
  <c r="AJ489" i="2" s="1"/>
  <c r="AF490" i="2"/>
  <c r="AF489" i="2" s="1"/>
  <c r="AD490" i="2"/>
  <c r="AD489" i="2" s="1"/>
  <c r="N490" i="2"/>
  <c r="N489" i="2" s="1"/>
  <c r="O792" i="2" s="1"/>
  <c r="K490" i="2"/>
  <c r="H490" i="2"/>
  <c r="H489" i="2" s="1"/>
  <c r="F490" i="2"/>
  <c r="F489" i="2" s="1"/>
  <c r="E490" i="2"/>
  <c r="BK489" i="2"/>
  <c r="BE489" i="2"/>
  <c r="BD489" i="2"/>
  <c r="AW489" i="2"/>
  <c r="AQ489" i="2"/>
  <c r="AK489" i="2"/>
  <c r="AB489" i="2"/>
  <c r="K489" i="2"/>
  <c r="E489" i="2"/>
  <c r="AR488" i="2"/>
  <c r="T488" i="2" s="1"/>
  <c r="AO488" i="2"/>
  <c r="AO486" i="2" s="1"/>
  <c r="Y488" i="2"/>
  <c r="X488" i="2"/>
  <c r="U488" i="2"/>
  <c r="S488" i="2"/>
  <c r="V488" i="2" s="1"/>
  <c r="R488" i="2"/>
  <c r="Q488" i="2"/>
  <c r="Z488" i="2" s="1"/>
  <c r="P488" i="2"/>
  <c r="N488" i="2"/>
  <c r="J488" i="2"/>
  <c r="I488" i="2"/>
  <c r="G488" i="2"/>
  <c r="AR487" i="2"/>
  <c r="AO487" i="2"/>
  <c r="AL487" i="2"/>
  <c r="AE487" i="2"/>
  <c r="U487" i="2"/>
  <c r="U486" i="2" s="1"/>
  <c r="U485" i="2" s="1"/>
  <c r="R487" i="2"/>
  <c r="O487" i="2"/>
  <c r="BN487" i="2" s="1"/>
  <c r="N487" i="2"/>
  <c r="L487" i="2"/>
  <c r="J487" i="2"/>
  <c r="G487" i="2"/>
  <c r="I487" i="2" s="1"/>
  <c r="BN486" i="2"/>
  <c r="BN485" i="2" s="1"/>
  <c r="BM486" i="2"/>
  <c r="BL486" i="2"/>
  <c r="BL485" i="2" s="1"/>
  <c r="BK486" i="2"/>
  <c r="BJ486" i="2"/>
  <c r="BI486" i="2"/>
  <c r="BH486" i="2"/>
  <c r="BH485" i="2" s="1"/>
  <c r="BG486" i="2"/>
  <c r="BF486" i="2"/>
  <c r="BF485" i="2" s="1"/>
  <c r="BE486" i="2"/>
  <c r="BD486" i="2"/>
  <c r="BD485" i="2" s="1"/>
  <c r="BC486" i="2"/>
  <c r="BC485" i="2" s="1"/>
  <c r="BB486" i="2"/>
  <c r="BB485" i="2" s="1"/>
  <c r="BA486" i="2"/>
  <c r="AZ486" i="2"/>
  <c r="AZ485" i="2" s="1"/>
  <c r="AY486" i="2"/>
  <c r="AX486" i="2"/>
  <c r="AW486" i="2"/>
  <c r="AW485" i="2" s="1"/>
  <c r="AV486" i="2"/>
  <c r="AV485" i="2" s="1"/>
  <c r="AU486" i="2"/>
  <c r="AT486" i="2"/>
  <c r="AT485" i="2" s="1"/>
  <c r="AS486" i="2"/>
  <c r="AQ486" i="2"/>
  <c r="AQ485" i="2" s="1"/>
  <c r="AP486" i="2"/>
  <c r="AP485" i="2" s="1"/>
  <c r="AN486" i="2"/>
  <c r="AN485" i="2" s="1"/>
  <c r="AM486" i="2"/>
  <c r="AK486" i="2"/>
  <c r="AJ486" i="2"/>
  <c r="AJ485" i="2" s="1"/>
  <c r="AI486" i="2"/>
  <c r="AH486" i="2"/>
  <c r="AH485" i="2" s="1"/>
  <c r="AG486" i="2"/>
  <c r="AG485" i="2" s="1"/>
  <c r="AF486" i="2"/>
  <c r="AD486" i="2"/>
  <c r="AC486" i="2"/>
  <c r="AB486" i="2"/>
  <c r="AB485" i="2" s="1"/>
  <c r="AA486" i="2"/>
  <c r="AA485" i="2" s="1"/>
  <c r="R486" i="2"/>
  <c r="O486" i="2"/>
  <c r="X486" i="2" s="1"/>
  <c r="M486" i="2"/>
  <c r="M485" i="2" s="1"/>
  <c r="K486" i="2"/>
  <c r="J486" i="2"/>
  <c r="I486" i="2"/>
  <c r="H486" i="2"/>
  <c r="G486" i="2"/>
  <c r="F486" i="2"/>
  <c r="E486" i="2"/>
  <c r="BM485" i="2"/>
  <c r="BK485" i="2"/>
  <c r="BJ485" i="2"/>
  <c r="BI485" i="2"/>
  <c r="BG485" i="2"/>
  <c r="BE485" i="2"/>
  <c r="BA485" i="2"/>
  <c r="AY485" i="2"/>
  <c r="AX485" i="2"/>
  <c r="AU485" i="2"/>
  <c r="AS485" i="2"/>
  <c r="AO485" i="2"/>
  <c r="AM485" i="2"/>
  <c r="AK485" i="2"/>
  <c r="AI485" i="2"/>
  <c r="AF485" i="2"/>
  <c r="AD485" i="2"/>
  <c r="AC485" i="2"/>
  <c r="R485" i="2"/>
  <c r="O485" i="2"/>
  <c r="X485" i="2" s="1"/>
  <c r="K485" i="2"/>
  <c r="I485" i="2"/>
  <c r="H485" i="2"/>
  <c r="F799" i="2" s="1"/>
  <c r="H799" i="2" s="1"/>
  <c r="G485" i="2"/>
  <c r="J485" i="2" s="1"/>
  <c r="F485" i="2"/>
  <c r="E485" i="2"/>
  <c r="BU484" i="2"/>
  <c r="BO484" i="2"/>
  <c r="BN484" i="2"/>
  <c r="BP484" i="2" s="1"/>
  <c r="Z484" i="2"/>
  <c r="Y484" i="2"/>
  <c r="T484" i="2"/>
  <c r="S484" i="2"/>
  <c r="R484" i="2"/>
  <c r="Q484" i="2"/>
  <c r="W484" i="2" s="1"/>
  <c r="BR484" i="2" s="1"/>
  <c r="P484" i="2"/>
  <c r="O484" i="2"/>
  <c r="X484" i="2" s="1"/>
  <c r="J484" i="2"/>
  <c r="I484" i="2"/>
  <c r="G484" i="2"/>
  <c r="BT483" i="2"/>
  <c r="BN483" i="2"/>
  <c r="Z483" i="2"/>
  <c r="X483" i="2"/>
  <c r="V483" i="2"/>
  <c r="T483" i="2"/>
  <c r="S483" i="2"/>
  <c r="R483" i="2"/>
  <c r="Q483" i="2"/>
  <c r="W483" i="2" s="1"/>
  <c r="P483" i="2"/>
  <c r="Y483" i="2" s="1"/>
  <c r="O483" i="2"/>
  <c r="U483" i="2" s="1"/>
  <c r="BQ483" i="2" s="1"/>
  <c r="G483" i="2"/>
  <c r="X482" i="2"/>
  <c r="W482" i="2"/>
  <c r="BR482" i="2" s="1"/>
  <c r="V482" i="2"/>
  <c r="BT482" i="2" s="1"/>
  <c r="T482" i="2"/>
  <c r="S482" i="2"/>
  <c r="R482" i="2"/>
  <c r="Q482" i="2"/>
  <c r="P482" i="2"/>
  <c r="Y482" i="2" s="1"/>
  <c r="O482" i="2"/>
  <c r="U482" i="2" s="1"/>
  <c r="BQ482" i="2" s="1"/>
  <c r="G482" i="2"/>
  <c r="J482" i="2" s="1"/>
  <c r="BM481" i="2"/>
  <c r="BL481" i="2"/>
  <c r="BK481" i="2"/>
  <c r="BJ481" i="2"/>
  <c r="BI481" i="2"/>
  <c r="BH481" i="2"/>
  <c r="BG481" i="2"/>
  <c r="BF481" i="2"/>
  <c r="BE481" i="2"/>
  <c r="BD481" i="2"/>
  <c r="BC481" i="2"/>
  <c r="BB481" i="2"/>
  <c r="BA481" i="2"/>
  <c r="AZ481" i="2"/>
  <c r="AY481" i="2"/>
  <c r="AX481" i="2"/>
  <c r="AW481" i="2"/>
  <c r="AV481" i="2"/>
  <c r="AU481" i="2"/>
  <c r="AT481" i="2"/>
  <c r="AS481" i="2"/>
  <c r="AR481" i="2"/>
  <c r="AQ481" i="2"/>
  <c r="AP481" i="2"/>
  <c r="AO481" i="2"/>
  <c r="AN481" i="2"/>
  <c r="AM481" i="2"/>
  <c r="AL481" i="2"/>
  <c r="AK481" i="2"/>
  <c r="AJ481" i="2"/>
  <c r="AI481" i="2"/>
  <c r="AH481" i="2"/>
  <c r="AG481" i="2"/>
  <c r="AF481" i="2"/>
  <c r="AE481" i="2"/>
  <c r="AD481" i="2"/>
  <c r="AC481" i="2"/>
  <c r="AB481" i="2"/>
  <c r="AA481" i="2"/>
  <c r="O481" i="2"/>
  <c r="X481" i="2" s="1"/>
  <c r="N481" i="2"/>
  <c r="M481" i="2"/>
  <c r="L481" i="2"/>
  <c r="K481" i="2"/>
  <c r="H481" i="2"/>
  <c r="F481" i="2"/>
  <c r="E481" i="2"/>
  <c r="BO480" i="2"/>
  <c r="BO479" i="2" s="1"/>
  <c r="V480" i="2"/>
  <c r="T480" i="2"/>
  <c r="S480" i="2"/>
  <c r="R480" i="2"/>
  <c r="Q480" i="2"/>
  <c r="Z480" i="2" s="1"/>
  <c r="P480" i="2"/>
  <c r="O480" i="2"/>
  <c r="I480" i="2"/>
  <c r="G480" i="2"/>
  <c r="J480" i="2" s="1"/>
  <c r="BM479" i="2"/>
  <c r="BL479" i="2"/>
  <c r="BK479" i="2"/>
  <c r="BJ479" i="2"/>
  <c r="BI479" i="2"/>
  <c r="BH479" i="2"/>
  <c r="BG479" i="2"/>
  <c r="BF479" i="2"/>
  <c r="BE479" i="2"/>
  <c r="BD479" i="2"/>
  <c r="BC479" i="2"/>
  <c r="BB479" i="2"/>
  <c r="BA479" i="2"/>
  <c r="AZ479" i="2"/>
  <c r="AY479" i="2"/>
  <c r="AX479" i="2"/>
  <c r="AW479" i="2"/>
  <c r="AV479" i="2"/>
  <c r="AU479" i="2"/>
  <c r="AT479" i="2"/>
  <c r="AS479" i="2"/>
  <c r="AR479" i="2"/>
  <c r="AQ479" i="2"/>
  <c r="AP479" i="2"/>
  <c r="AO479" i="2"/>
  <c r="AN479" i="2"/>
  <c r="AM479" i="2"/>
  <c r="AL479" i="2"/>
  <c r="AK479" i="2"/>
  <c r="AJ479" i="2"/>
  <c r="AI479" i="2"/>
  <c r="AH479" i="2"/>
  <c r="AG479" i="2"/>
  <c r="AF479" i="2"/>
  <c r="AE479" i="2"/>
  <c r="AD479" i="2"/>
  <c r="AC479" i="2"/>
  <c r="AB479" i="2"/>
  <c r="AA479" i="2"/>
  <c r="T479" i="2"/>
  <c r="S479" i="2"/>
  <c r="R479" i="2"/>
  <c r="Q479" i="2"/>
  <c r="Z479" i="2" s="1"/>
  <c r="N479" i="2"/>
  <c r="M479" i="2"/>
  <c r="L479" i="2"/>
  <c r="K479" i="2"/>
  <c r="H479" i="2"/>
  <c r="G479" i="2"/>
  <c r="J479" i="2" s="1"/>
  <c r="F479" i="2"/>
  <c r="E479" i="2"/>
  <c r="AR478" i="2"/>
  <c r="V478" i="2"/>
  <c r="V477" i="2" s="1"/>
  <c r="U478" i="2"/>
  <c r="S478" i="2"/>
  <c r="R478" i="2"/>
  <c r="P478" i="2"/>
  <c r="Y478" i="2" s="1"/>
  <c r="O478" i="2"/>
  <c r="N478" i="2"/>
  <c r="J478" i="2"/>
  <c r="G478" i="2"/>
  <c r="I478" i="2" s="1"/>
  <c r="BM477" i="2"/>
  <c r="BL477" i="2"/>
  <c r="BK477" i="2"/>
  <c r="BJ477" i="2"/>
  <c r="BI477" i="2"/>
  <c r="BH477" i="2"/>
  <c r="BG477" i="2"/>
  <c r="BF477" i="2"/>
  <c r="BE477" i="2"/>
  <c r="BD477" i="2"/>
  <c r="BC477" i="2"/>
  <c r="BB477" i="2"/>
  <c r="BA477" i="2"/>
  <c r="AZ477" i="2"/>
  <c r="AY477" i="2"/>
  <c r="AX477" i="2"/>
  <c r="AW477" i="2"/>
  <c r="AV477" i="2"/>
  <c r="AU477" i="2"/>
  <c r="AT477" i="2"/>
  <c r="AS477" i="2"/>
  <c r="AQ477" i="2"/>
  <c r="AP477" i="2"/>
  <c r="AO477" i="2"/>
  <c r="AN477" i="2"/>
  <c r="AM477" i="2"/>
  <c r="AL477" i="2"/>
  <c r="AK477" i="2"/>
  <c r="AJ477" i="2"/>
  <c r="AI477" i="2"/>
  <c r="AH477" i="2"/>
  <c r="AG477" i="2"/>
  <c r="AF477" i="2"/>
  <c r="AE477" i="2"/>
  <c r="AD477" i="2"/>
  <c r="AC477" i="2"/>
  <c r="AB477" i="2"/>
  <c r="AA477" i="2"/>
  <c r="S477" i="2"/>
  <c r="R477" i="2"/>
  <c r="N477" i="2"/>
  <c r="M477" i="2"/>
  <c r="L477" i="2"/>
  <c r="K477" i="2"/>
  <c r="H477" i="2"/>
  <c r="G477" i="2"/>
  <c r="F477" i="2"/>
  <c r="E477" i="2"/>
  <c r="BO476" i="2"/>
  <c r="BN476" i="2"/>
  <c r="V476" i="2"/>
  <c r="BT476" i="2" s="1"/>
  <c r="T476" i="2"/>
  <c r="S476" i="2"/>
  <c r="R476" i="2"/>
  <c r="Q476" i="2"/>
  <c r="Z476" i="2" s="1"/>
  <c r="P476" i="2"/>
  <c r="Y476" i="2" s="1"/>
  <c r="O476" i="2"/>
  <c r="X476" i="2" s="1"/>
  <c r="J476" i="2"/>
  <c r="G476" i="2"/>
  <c r="I476" i="2" s="1"/>
  <c r="X475" i="2"/>
  <c r="W475" i="2"/>
  <c r="BR475" i="2" s="1"/>
  <c r="V475" i="2"/>
  <c r="BT475" i="2" s="1"/>
  <c r="T475" i="2"/>
  <c r="S475" i="2"/>
  <c r="R475" i="2"/>
  <c r="Q475" i="2"/>
  <c r="Z475" i="2" s="1"/>
  <c r="P475" i="2"/>
  <c r="Y475" i="2" s="1"/>
  <c r="O475" i="2"/>
  <c r="BN475" i="2" s="1"/>
  <c r="G475" i="2"/>
  <c r="J475" i="2" s="1"/>
  <c r="Y474" i="2"/>
  <c r="X474" i="2"/>
  <c r="W474" i="2"/>
  <c r="BR474" i="2" s="1"/>
  <c r="T474" i="2"/>
  <c r="S474" i="2"/>
  <c r="V474" i="2" s="1"/>
  <c r="BT474" i="2" s="1"/>
  <c r="R474" i="2"/>
  <c r="R471" i="2" s="1"/>
  <c r="Q474" i="2"/>
  <c r="P474" i="2"/>
  <c r="O474" i="2"/>
  <c r="BN474" i="2" s="1"/>
  <c r="G474" i="2"/>
  <c r="AQ473" i="2"/>
  <c r="P473" i="2" s="1"/>
  <c r="Y473" i="2" s="1"/>
  <c r="Z473" i="2"/>
  <c r="T473" i="2"/>
  <c r="S473" i="2"/>
  <c r="S471" i="2" s="1"/>
  <c r="R473" i="2"/>
  <c r="Q473" i="2"/>
  <c r="BO473" i="2" s="1"/>
  <c r="O473" i="2"/>
  <c r="X473" i="2" s="1"/>
  <c r="L473" i="2"/>
  <c r="J473" i="2"/>
  <c r="I473" i="2"/>
  <c r="G473" i="2"/>
  <c r="BT472" i="2"/>
  <c r="BO472" i="2"/>
  <c r="V472" i="2"/>
  <c r="T472" i="2"/>
  <c r="S472" i="2"/>
  <c r="R472" i="2"/>
  <c r="Q472" i="2"/>
  <c r="Z472" i="2" s="1"/>
  <c r="P472" i="2"/>
  <c r="O472" i="2"/>
  <c r="J472" i="2"/>
  <c r="G472" i="2"/>
  <c r="I472" i="2" s="1"/>
  <c r="BM471" i="2"/>
  <c r="BL471" i="2"/>
  <c r="BK471" i="2"/>
  <c r="BJ471" i="2"/>
  <c r="BI471" i="2"/>
  <c r="BH471" i="2"/>
  <c r="BG471" i="2"/>
  <c r="BF471" i="2"/>
  <c r="BE471" i="2"/>
  <c r="BD471" i="2"/>
  <c r="BC471" i="2"/>
  <c r="BB471" i="2"/>
  <c r="BA471" i="2"/>
  <c r="AZ471" i="2"/>
  <c r="AY471" i="2"/>
  <c r="AX471" i="2"/>
  <c r="AW471" i="2"/>
  <c r="AV471" i="2"/>
  <c r="AU471" i="2"/>
  <c r="AT471" i="2"/>
  <c r="AS471" i="2"/>
  <c r="AR471" i="2"/>
  <c r="AQ471" i="2"/>
  <c r="AP471" i="2"/>
  <c r="AO471" i="2"/>
  <c r="AN471" i="2"/>
  <c r="AM471" i="2"/>
  <c r="AL471" i="2"/>
  <c r="AK471" i="2"/>
  <c r="AJ471" i="2"/>
  <c r="AI471" i="2"/>
  <c r="AH471" i="2"/>
  <c r="AG471" i="2"/>
  <c r="AF471" i="2"/>
  <c r="AE471" i="2"/>
  <c r="AD471" i="2"/>
  <c r="AC471" i="2"/>
  <c r="AB471" i="2"/>
  <c r="AA471" i="2"/>
  <c r="T471" i="2"/>
  <c r="N471" i="2"/>
  <c r="M471" i="2"/>
  <c r="K471" i="2"/>
  <c r="H471" i="2"/>
  <c r="G471" i="2"/>
  <c r="F471" i="2"/>
  <c r="E471" i="2"/>
  <c r="BO470" i="2"/>
  <c r="AR470" i="2"/>
  <c r="AO470" i="2"/>
  <c r="AN470" i="2"/>
  <c r="AL470" i="2"/>
  <c r="T470" i="2" s="1"/>
  <c r="AK470" i="2"/>
  <c r="AK460" i="2" s="1"/>
  <c r="AE470" i="2"/>
  <c r="S470" i="2" s="1"/>
  <c r="V470" i="2" s="1"/>
  <c r="BT470" i="2" s="1"/>
  <c r="U470" i="2"/>
  <c r="BQ470" i="2" s="1"/>
  <c r="R470" i="2"/>
  <c r="Q470" i="2"/>
  <c r="Z470" i="2" s="1"/>
  <c r="O470" i="2"/>
  <c r="X470" i="2" s="1"/>
  <c r="N470" i="2"/>
  <c r="G470" i="2"/>
  <c r="Y469" i="2"/>
  <c r="X469" i="2"/>
  <c r="T469" i="2"/>
  <c r="S469" i="2"/>
  <c r="V469" i="2" s="1"/>
  <c r="BT469" i="2" s="1"/>
  <c r="R469" i="2"/>
  <c r="Q469" i="2"/>
  <c r="P469" i="2"/>
  <c r="O469" i="2"/>
  <c r="BN469" i="2" s="1"/>
  <c r="G469" i="2"/>
  <c r="J469" i="2" s="1"/>
  <c r="Z468" i="2"/>
  <c r="Y468" i="2"/>
  <c r="X468" i="2"/>
  <c r="T468" i="2"/>
  <c r="T458" i="2" s="1"/>
  <c r="S468" i="2"/>
  <c r="V468" i="2" s="1"/>
  <c r="BT468" i="2" s="1"/>
  <c r="R468" i="2"/>
  <c r="R458" i="2" s="1"/>
  <c r="Q468" i="2"/>
  <c r="W468" i="2" s="1"/>
  <c r="BR468" i="2" s="1"/>
  <c r="P468" i="2"/>
  <c r="O468" i="2"/>
  <c r="BN468" i="2" s="1"/>
  <c r="J468" i="2"/>
  <c r="G468" i="2"/>
  <c r="I468" i="2" s="1"/>
  <c r="BR467" i="2"/>
  <c r="BO467" i="2"/>
  <c r="Z467" i="2"/>
  <c r="Y467" i="2"/>
  <c r="T467" i="2"/>
  <c r="S467" i="2"/>
  <c r="V467" i="2" s="1"/>
  <c r="BT467" i="2" s="1"/>
  <c r="R467" i="2"/>
  <c r="Q467" i="2"/>
  <c r="W467" i="2" s="1"/>
  <c r="P467" i="2"/>
  <c r="O467" i="2"/>
  <c r="X467" i="2" s="1"/>
  <c r="J467" i="2"/>
  <c r="I467" i="2"/>
  <c r="G467" i="2"/>
  <c r="BT466" i="2"/>
  <c r="BO466" i="2"/>
  <c r="BN466" i="2"/>
  <c r="BP466" i="2" s="1"/>
  <c r="Z466" i="2"/>
  <c r="V466" i="2"/>
  <c r="T466" i="2"/>
  <c r="S466" i="2"/>
  <c r="R466" i="2"/>
  <c r="Q466" i="2"/>
  <c r="W466" i="2" s="1"/>
  <c r="BR466" i="2" s="1"/>
  <c r="P466" i="2"/>
  <c r="Y466" i="2" s="1"/>
  <c r="O466" i="2"/>
  <c r="X466" i="2" s="1"/>
  <c r="J466" i="2"/>
  <c r="I466" i="2"/>
  <c r="G466" i="2"/>
  <c r="BT465" i="2"/>
  <c r="BO465" i="2"/>
  <c r="BN465" i="2"/>
  <c r="BP465" i="2" s="1"/>
  <c r="V465" i="2"/>
  <c r="T465" i="2"/>
  <c r="S465" i="2"/>
  <c r="R465" i="2"/>
  <c r="Q465" i="2"/>
  <c r="Z465" i="2" s="1"/>
  <c r="P465" i="2"/>
  <c r="Y465" i="2" s="1"/>
  <c r="O465" i="2"/>
  <c r="X465" i="2" s="1"/>
  <c r="J465" i="2"/>
  <c r="G465" i="2"/>
  <c r="I465" i="2" s="1"/>
  <c r="AR464" i="2"/>
  <c r="AO464" i="2"/>
  <c r="AL464" i="2"/>
  <c r="Q464" i="2" s="1"/>
  <c r="BO464" i="2" s="1"/>
  <c r="AE464" i="2"/>
  <c r="S464" i="2" s="1"/>
  <c r="V464" i="2" s="1"/>
  <c r="BT464" i="2" s="1"/>
  <c r="Z464" i="2"/>
  <c r="U464" i="2"/>
  <c r="BQ464" i="2" s="1"/>
  <c r="BS464" i="2" s="1"/>
  <c r="BV464" i="2" s="1"/>
  <c r="R464" i="2"/>
  <c r="P464" i="2"/>
  <c r="Y464" i="2" s="1"/>
  <c r="O464" i="2"/>
  <c r="N464" i="2"/>
  <c r="W464" i="2" s="1"/>
  <c r="BR464" i="2" s="1"/>
  <c r="J464" i="2"/>
  <c r="G464" i="2"/>
  <c r="I464" i="2" s="1"/>
  <c r="X463" i="2"/>
  <c r="W463" i="2"/>
  <c r="BR463" i="2" s="1"/>
  <c r="V463" i="2"/>
  <c r="BT463" i="2" s="1"/>
  <c r="T463" i="2"/>
  <c r="S463" i="2"/>
  <c r="R463" i="2"/>
  <c r="Q463" i="2"/>
  <c r="Z463" i="2" s="1"/>
  <c r="P463" i="2"/>
  <c r="Y463" i="2" s="1"/>
  <c r="O463" i="2"/>
  <c r="BN463" i="2" s="1"/>
  <c r="G463" i="2"/>
  <c r="AR462" i="2"/>
  <c r="Q462" i="2" s="1"/>
  <c r="BO462" i="2" s="1"/>
  <c r="AE462" i="2"/>
  <c r="U462" i="2"/>
  <c r="BQ462" i="2" s="1"/>
  <c r="T462" i="2"/>
  <c r="R462" i="2"/>
  <c r="O462" i="2"/>
  <c r="N462" i="2"/>
  <c r="W462" i="2" s="1"/>
  <c r="BR462" i="2" s="1"/>
  <c r="L462" i="2"/>
  <c r="J462" i="2"/>
  <c r="G462" i="2"/>
  <c r="I462" i="2" s="1"/>
  <c r="BO461" i="2"/>
  <c r="AR461" i="2"/>
  <c r="AO461" i="2"/>
  <c r="Q461" i="2" s="1"/>
  <c r="AE461" i="2"/>
  <c r="P461" i="2" s="1"/>
  <c r="Y461" i="2"/>
  <c r="T461" i="2"/>
  <c r="R461" i="2"/>
  <c r="O461" i="2"/>
  <c r="U461" i="2" s="1"/>
  <c r="BQ461" i="2" s="1"/>
  <c r="N461" i="2"/>
  <c r="W461" i="2" s="1"/>
  <c r="L461" i="2"/>
  <c r="J461" i="2"/>
  <c r="G461" i="2"/>
  <c r="I461" i="2" s="1"/>
  <c r="BM460" i="2"/>
  <c r="BL460" i="2"/>
  <c r="BK460" i="2"/>
  <c r="BJ460" i="2"/>
  <c r="BI460" i="2"/>
  <c r="BH460" i="2"/>
  <c r="BG460" i="2"/>
  <c r="BF460" i="2"/>
  <c r="BE460" i="2"/>
  <c r="BD460" i="2"/>
  <c r="BC460" i="2"/>
  <c r="BB460" i="2"/>
  <c r="BA460" i="2"/>
  <c r="AZ460" i="2"/>
  <c r="AY460" i="2"/>
  <c r="AX460" i="2"/>
  <c r="AW460" i="2"/>
  <c r="AV460" i="2"/>
  <c r="AU460" i="2"/>
  <c r="AT460" i="2"/>
  <c r="AS460" i="2"/>
  <c r="AR460" i="2"/>
  <c r="AQ460" i="2"/>
  <c r="AP460" i="2"/>
  <c r="AN460" i="2"/>
  <c r="AM460" i="2"/>
  <c r="AL460" i="2"/>
  <c r="AJ460" i="2"/>
  <c r="AI460" i="2"/>
  <c r="AH460" i="2"/>
  <c r="AG460" i="2"/>
  <c r="AF460" i="2"/>
  <c r="AD460" i="2"/>
  <c r="AC460" i="2"/>
  <c r="AB460" i="2"/>
  <c r="AA460" i="2"/>
  <c r="N460" i="2"/>
  <c r="M460" i="2"/>
  <c r="K460" i="2"/>
  <c r="H460" i="2"/>
  <c r="F460" i="2"/>
  <c r="E460" i="2"/>
  <c r="BT459" i="2"/>
  <c r="BT458" i="2" s="1"/>
  <c r="W459" i="2"/>
  <c r="V459" i="2"/>
  <c r="V458" i="2" s="1"/>
  <c r="T459" i="2"/>
  <c r="S459" i="2"/>
  <c r="R459" i="2"/>
  <c r="Q459" i="2"/>
  <c r="P459" i="2"/>
  <c r="O459" i="2"/>
  <c r="X459" i="2" s="1"/>
  <c r="J459" i="2"/>
  <c r="G459" i="2"/>
  <c r="I459" i="2" s="1"/>
  <c r="BM458" i="2"/>
  <c r="BL458" i="2"/>
  <c r="BK458" i="2"/>
  <c r="BJ458" i="2"/>
  <c r="BI458" i="2"/>
  <c r="BH458" i="2"/>
  <c r="BG458" i="2"/>
  <c r="BF458" i="2"/>
  <c r="BE458" i="2"/>
  <c r="BD458" i="2"/>
  <c r="BC458" i="2"/>
  <c r="BB458" i="2"/>
  <c r="BA458" i="2"/>
  <c r="AZ458" i="2"/>
  <c r="AY458" i="2"/>
  <c r="AX458" i="2"/>
  <c r="AW458" i="2"/>
  <c r="AV458" i="2"/>
  <c r="AU458" i="2"/>
  <c r="AT458" i="2"/>
  <c r="AS458" i="2"/>
  <c r="AR458" i="2"/>
  <c r="AQ458" i="2"/>
  <c r="AP458" i="2"/>
  <c r="AO458" i="2"/>
  <c r="AN458" i="2"/>
  <c r="AM458" i="2"/>
  <c r="AL458" i="2"/>
  <c r="AK458" i="2"/>
  <c r="AJ458" i="2"/>
  <c r="AI458" i="2"/>
  <c r="AH458" i="2"/>
  <c r="AG458" i="2"/>
  <c r="AF458" i="2"/>
  <c r="AE458" i="2"/>
  <c r="AD458" i="2"/>
  <c r="AC458" i="2"/>
  <c r="AB458" i="2"/>
  <c r="AA458" i="2"/>
  <c r="S458" i="2"/>
  <c r="N458" i="2"/>
  <c r="M458" i="2"/>
  <c r="L458" i="2"/>
  <c r="K458" i="2"/>
  <c r="I458" i="2"/>
  <c r="H458" i="2"/>
  <c r="G458" i="2"/>
  <c r="J458" i="2" s="1"/>
  <c r="F458" i="2"/>
  <c r="E458" i="2"/>
  <c r="BU457" i="2"/>
  <c r="BO457" i="2"/>
  <c r="BN457" i="2"/>
  <c r="BP457" i="2" s="1"/>
  <c r="V457" i="2"/>
  <c r="BT457" i="2" s="1"/>
  <c r="T457" i="2"/>
  <c r="S457" i="2"/>
  <c r="R457" i="2"/>
  <c r="Q457" i="2"/>
  <c r="Z457" i="2" s="1"/>
  <c r="P457" i="2"/>
  <c r="Y457" i="2" s="1"/>
  <c r="O457" i="2"/>
  <c r="X457" i="2" s="1"/>
  <c r="J457" i="2"/>
  <c r="G457" i="2"/>
  <c r="I457" i="2" s="1"/>
  <c r="X456" i="2"/>
  <c r="V456" i="2"/>
  <c r="BT456" i="2" s="1"/>
  <c r="T456" i="2"/>
  <c r="S456" i="2"/>
  <c r="R456" i="2"/>
  <c r="Q456" i="2"/>
  <c r="Z456" i="2" s="1"/>
  <c r="P456" i="2"/>
  <c r="Y456" i="2" s="1"/>
  <c r="O456" i="2"/>
  <c r="BN456" i="2" s="1"/>
  <c r="G456" i="2"/>
  <c r="BR455" i="2"/>
  <c r="Y455" i="2"/>
  <c r="X455" i="2"/>
  <c r="W455" i="2"/>
  <c r="T455" i="2"/>
  <c r="S455" i="2"/>
  <c r="V455" i="2" s="1"/>
  <c r="BT455" i="2" s="1"/>
  <c r="R455" i="2"/>
  <c r="Q455" i="2"/>
  <c r="P455" i="2"/>
  <c r="O455" i="2"/>
  <c r="BN455" i="2" s="1"/>
  <c r="I455" i="2"/>
  <c r="G455" i="2"/>
  <c r="J455" i="2" s="1"/>
  <c r="Z454" i="2"/>
  <c r="Y454" i="2"/>
  <c r="X454" i="2"/>
  <c r="T454" i="2"/>
  <c r="S454" i="2"/>
  <c r="V454" i="2" s="1"/>
  <c r="BT454" i="2" s="1"/>
  <c r="R454" i="2"/>
  <c r="Q454" i="2"/>
  <c r="W454" i="2" s="1"/>
  <c r="BR454" i="2" s="1"/>
  <c r="P454" i="2"/>
  <c r="O454" i="2"/>
  <c r="BN454" i="2" s="1"/>
  <c r="G454" i="2"/>
  <c r="J454" i="2" s="1"/>
  <c r="BT453" i="2"/>
  <c r="BR453" i="2"/>
  <c r="BO453" i="2"/>
  <c r="BN453" i="2"/>
  <c r="BP453" i="2" s="1"/>
  <c r="Z453" i="2"/>
  <c r="Y453" i="2"/>
  <c r="T453" i="2"/>
  <c r="S453" i="2"/>
  <c r="V453" i="2" s="1"/>
  <c r="R453" i="2"/>
  <c r="Q453" i="2"/>
  <c r="W453" i="2" s="1"/>
  <c r="P453" i="2"/>
  <c r="O453" i="2"/>
  <c r="X453" i="2" s="1"/>
  <c r="J453" i="2"/>
  <c r="I453" i="2"/>
  <c r="G453" i="2"/>
  <c r="BT452" i="2"/>
  <c r="BO452" i="2"/>
  <c r="Z452" i="2"/>
  <c r="V452" i="2"/>
  <c r="T452" i="2"/>
  <c r="S452" i="2"/>
  <c r="R452" i="2"/>
  <c r="Q452" i="2"/>
  <c r="W452" i="2" s="1"/>
  <c r="BR452" i="2" s="1"/>
  <c r="P452" i="2"/>
  <c r="Y452" i="2" s="1"/>
  <c r="O452" i="2"/>
  <c r="X452" i="2" s="1"/>
  <c r="J452" i="2"/>
  <c r="I452" i="2"/>
  <c r="G452" i="2"/>
  <c r="BT451" i="2"/>
  <c r="BO451" i="2"/>
  <c r="V451" i="2"/>
  <c r="T451" i="2"/>
  <c r="S451" i="2"/>
  <c r="R451" i="2"/>
  <c r="Q451" i="2"/>
  <c r="Z451" i="2" s="1"/>
  <c r="P451" i="2"/>
  <c r="Y451" i="2" s="1"/>
  <c r="O451" i="2"/>
  <c r="X451" i="2" s="1"/>
  <c r="G451" i="2"/>
  <c r="BO450" i="2"/>
  <c r="W450" i="2"/>
  <c r="BR450" i="2" s="1"/>
  <c r="T450" i="2"/>
  <c r="S450" i="2"/>
  <c r="V450" i="2" s="1"/>
  <c r="BT450" i="2" s="1"/>
  <c r="R450" i="2"/>
  <c r="Q450" i="2"/>
  <c r="Z450" i="2" s="1"/>
  <c r="P450" i="2"/>
  <c r="Y450" i="2" s="1"/>
  <c r="O450" i="2"/>
  <c r="G450" i="2"/>
  <c r="BO449" i="2"/>
  <c r="Z449" i="2"/>
  <c r="X449" i="2"/>
  <c r="W449" i="2"/>
  <c r="BR449" i="2" s="1"/>
  <c r="T449" i="2"/>
  <c r="S449" i="2"/>
  <c r="V449" i="2" s="1"/>
  <c r="BT449" i="2" s="1"/>
  <c r="R449" i="2"/>
  <c r="Q449" i="2"/>
  <c r="P449" i="2"/>
  <c r="Y449" i="2" s="1"/>
  <c r="O449" i="2"/>
  <c r="BN449" i="2" s="1"/>
  <c r="BP449" i="2" s="1"/>
  <c r="G449" i="2"/>
  <c r="J449" i="2" s="1"/>
  <c r="BN448" i="2"/>
  <c r="AO448" i="2"/>
  <c r="Q448" i="2" s="1"/>
  <c r="Z448" i="2"/>
  <c r="X448" i="2"/>
  <c r="U448" i="2"/>
  <c r="BQ448" i="2" s="1"/>
  <c r="T448" i="2"/>
  <c r="S448" i="2"/>
  <c r="V448" i="2" s="1"/>
  <c r="BT448" i="2" s="1"/>
  <c r="R448" i="2"/>
  <c r="P448" i="2"/>
  <c r="Y448" i="2" s="1"/>
  <c r="O448" i="2"/>
  <c r="J448" i="2"/>
  <c r="G448" i="2"/>
  <c r="I448" i="2" s="1"/>
  <c r="BO447" i="2"/>
  <c r="BN447" i="2"/>
  <c r="BP447" i="2" s="1"/>
  <c r="Z447" i="2"/>
  <c r="Y447" i="2"/>
  <c r="V447" i="2"/>
  <c r="BT447" i="2" s="1"/>
  <c r="T447" i="2"/>
  <c r="S447" i="2"/>
  <c r="R447" i="2"/>
  <c r="Q447" i="2"/>
  <c r="W447" i="2" s="1"/>
  <c r="BR447" i="2" s="1"/>
  <c r="P447" i="2"/>
  <c r="O447" i="2"/>
  <c r="X447" i="2" s="1"/>
  <c r="J447" i="2"/>
  <c r="I447" i="2"/>
  <c r="G447" i="2"/>
  <c r="BQ446" i="2"/>
  <c r="BN446" i="2"/>
  <c r="AR446" i="2"/>
  <c r="T446" i="2" s="1"/>
  <c r="Y446" i="2"/>
  <c r="X446" i="2"/>
  <c r="U446" i="2"/>
  <c r="S446" i="2"/>
  <c r="V446" i="2" s="1"/>
  <c r="BT446" i="2" s="1"/>
  <c r="R446" i="2"/>
  <c r="Q446" i="2"/>
  <c r="P446" i="2"/>
  <c r="O446" i="2"/>
  <c r="G446" i="2"/>
  <c r="J446" i="2" s="1"/>
  <c r="BO445" i="2"/>
  <c r="X445" i="2"/>
  <c r="W445" i="2"/>
  <c r="BR445" i="2" s="1"/>
  <c r="V445" i="2"/>
  <c r="BT445" i="2" s="1"/>
  <c r="T445" i="2"/>
  <c r="S445" i="2"/>
  <c r="R445" i="2"/>
  <c r="Q445" i="2"/>
  <c r="Z445" i="2" s="1"/>
  <c r="P445" i="2"/>
  <c r="Y445" i="2" s="1"/>
  <c r="O445" i="2"/>
  <c r="BN445" i="2" s="1"/>
  <c r="BP445" i="2" s="1"/>
  <c r="J445" i="2"/>
  <c r="G445" i="2"/>
  <c r="I445" i="2" s="1"/>
  <c r="BN444" i="2"/>
  <c r="BP444" i="2" s="1"/>
  <c r="AO444" i="2"/>
  <c r="Q444" i="2" s="1"/>
  <c r="BO444" i="2" s="1"/>
  <c r="Z444" i="2"/>
  <c r="U444" i="2"/>
  <c r="BQ444" i="2" s="1"/>
  <c r="BS444" i="2" s="1"/>
  <c r="BV444" i="2" s="1"/>
  <c r="T444" i="2"/>
  <c r="S444" i="2"/>
  <c r="V444" i="2" s="1"/>
  <c r="BT444" i="2" s="1"/>
  <c r="R444" i="2"/>
  <c r="P444" i="2"/>
  <c r="Y444" i="2" s="1"/>
  <c r="O444" i="2"/>
  <c r="X444" i="2" s="1"/>
  <c r="N444" i="2"/>
  <c r="W444" i="2" s="1"/>
  <c r="BR444" i="2" s="1"/>
  <c r="J444" i="2"/>
  <c r="I444" i="2"/>
  <c r="G444" i="2"/>
  <c r="BO443" i="2"/>
  <c r="BN443" i="2"/>
  <c r="BP443" i="2" s="1"/>
  <c r="Z443" i="2"/>
  <c r="X443" i="2"/>
  <c r="V443" i="2"/>
  <c r="BT443" i="2" s="1"/>
  <c r="T443" i="2"/>
  <c r="S443" i="2"/>
  <c r="R443" i="2"/>
  <c r="Q443" i="2"/>
  <c r="W443" i="2" s="1"/>
  <c r="BR443" i="2" s="1"/>
  <c r="P443" i="2"/>
  <c r="Y443" i="2" s="1"/>
  <c r="O443" i="2"/>
  <c r="U443" i="2" s="1"/>
  <c r="BQ443" i="2" s="1"/>
  <c r="BS443" i="2" s="1"/>
  <c r="BV443" i="2" s="1"/>
  <c r="J443" i="2"/>
  <c r="G443" i="2"/>
  <c r="I443" i="2" s="1"/>
  <c r="BN442" i="2"/>
  <c r="X442" i="2"/>
  <c r="V442" i="2"/>
  <c r="BT442" i="2" s="1"/>
  <c r="T442" i="2"/>
  <c r="S442" i="2"/>
  <c r="R442" i="2"/>
  <c r="Q442" i="2"/>
  <c r="Z442" i="2" s="1"/>
  <c r="P442" i="2"/>
  <c r="Y442" i="2" s="1"/>
  <c r="O442" i="2"/>
  <c r="U442" i="2" s="1"/>
  <c r="BQ442" i="2" s="1"/>
  <c r="G442" i="2"/>
  <c r="J442" i="2" s="1"/>
  <c r="BU441" i="2"/>
  <c r="Z441" i="2"/>
  <c r="X441" i="2"/>
  <c r="W441" i="2"/>
  <c r="BR441" i="2" s="1"/>
  <c r="T441" i="2"/>
  <c r="S441" i="2"/>
  <c r="V441" i="2" s="1"/>
  <c r="BT441" i="2" s="1"/>
  <c r="R441" i="2"/>
  <c r="Q441" i="2"/>
  <c r="BO441" i="2" s="1"/>
  <c r="P441" i="2"/>
  <c r="Y441" i="2" s="1"/>
  <c r="O441" i="2"/>
  <c r="BN441" i="2" s="1"/>
  <c r="BP441" i="2" s="1"/>
  <c r="J441" i="2"/>
  <c r="I441" i="2"/>
  <c r="G441" i="2"/>
  <c r="BN440" i="2"/>
  <c r="Y440" i="2"/>
  <c r="X440" i="2"/>
  <c r="T440" i="2"/>
  <c r="S440" i="2"/>
  <c r="V440" i="2" s="1"/>
  <c r="BT440" i="2" s="1"/>
  <c r="R440" i="2"/>
  <c r="Q440" i="2"/>
  <c r="P440" i="2"/>
  <c r="O440" i="2"/>
  <c r="U440" i="2" s="1"/>
  <c r="BQ440" i="2" s="1"/>
  <c r="J440" i="2"/>
  <c r="I440" i="2"/>
  <c r="G440" i="2"/>
  <c r="BO439" i="2"/>
  <c r="AQ439" i="2"/>
  <c r="AN439" i="2"/>
  <c r="AH439" i="2"/>
  <c r="P439" i="2" s="1"/>
  <c r="Y439" i="2" s="1"/>
  <c r="X439" i="2"/>
  <c r="T439" i="2"/>
  <c r="R439" i="2"/>
  <c r="Q439" i="2"/>
  <c r="Z439" i="2" s="1"/>
  <c r="O439" i="2"/>
  <c r="BN439" i="2" s="1"/>
  <c r="I439" i="2"/>
  <c r="G439" i="2"/>
  <c r="J439" i="2" s="1"/>
  <c r="AN438" i="2"/>
  <c r="P438" i="2" s="1"/>
  <c r="Z438" i="2"/>
  <c r="Y438" i="2"/>
  <c r="W438" i="2"/>
  <c r="BR438" i="2" s="1"/>
  <c r="T438" i="2"/>
  <c r="S438" i="2"/>
  <c r="V438" i="2" s="1"/>
  <c r="BT438" i="2" s="1"/>
  <c r="R438" i="2"/>
  <c r="Q438" i="2"/>
  <c r="BO438" i="2" s="1"/>
  <c r="O438" i="2"/>
  <c r="G438" i="2"/>
  <c r="J438" i="2" s="1"/>
  <c r="BO437" i="2"/>
  <c r="AK437" i="2"/>
  <c r="T437" i="2"/>
  <c r="R437" i="2"/>
  <c r="Q437" i="2"/>
  <c r="Z437" i="2" s="1"/>
  <c r="O437" i="2"/>
  <c r="X437" i="2" s="1"/>
  <c r="J437" i="2"/>
  <c r="I437" i="2"/>
  <c r="G437" i="2"/>
  <c r="BT436" i="2"/>
  <c r="BO436" i="2"/>
  <c r="Z436" i="2"/>
  <c r="V436" i="2"/>
  <c r="T436" i="2"/>
  <c r="S436" i="2"/>
  <c r="R436" i="2"/>
  <c r="Q436" i="2"/>
  <c r="W436" i="2" s="1"/>
  <c r="BR436" i="2" s="1"/>
  <c r="P436" i="2"/>
  <c r="Y436" i="2" s="1"/>
  <c r="O436" i="2"/>
  <c r="X436" i="2" s="1"/>
  <c r="G436" i="2"/>
  <c r="BQ435" i="2"/>
  <c r="AK435" i="2"/>
  <c r="AH435" i="2"/>
  <c r="P435" i="2" s="1"/>
  <c r="Y435" i="2" s="1"/>
  <c r="Z435" i="2"/>
  <c r="W435" i="2"/>
  <c r="BR435" i="2" s="1"/>
  <c r="U435" i="2"/>
  <c r="T435" i="2"/>
  <c r="S435" i="2"/>
  <c r="V435" i="2" s="1"/>
  <c r="BT435" i="2" s="1"/>
  <c r="R435" i="2"/>
  <c r="Q435" i="2"/>
  <c r="BO435" i="2" s="1"/>
  <c r="O435" i="2"/>
  <c r="X435" i="2" s="1"/>
  <c r="G435" i="2"/>
  <c r="BQ434" i="2"/>
  <c r="BS434" i="2" s="1"/>
  <c r="BV434" i="2" s="1"/>
  <c r="BO434" i="2"/>
  <c r="BN434" i="2"/>
  <c r="BP434" i="2" s="1"/>
  <c r="Z434" i="2"/>
  <c r="X434" i="2"/>
  <c r="V434" i="2"/>
  <c r="BT434" i="2" s="1"/>
  <c r="T434" i="2"/>
  <c r="S434" i="2"/>
  <c r="R434" i="2"/>
  <c r="Q434" i="2"/>
  <c r="W434" i="2" s="1"/>
  <c r="BR434" i="2" s="1"/>
  <c r="P434" i="2"/>
  <c r="Y434" i="2" s="1"/>
  <c r="O434" i="2"/>
  <c r="U434" i="2" s="1"/>
  <c r="G434" i="2"/>
  <c r="J434" i="2" s="1"/>
  <c r="BN433" i="2"/>
  <c r="AQ433" i="2"/>
  <c r="S433" i="2" s="1"/>
  <c r="X433" i="2"/>
  <c r="W433" i="2"/>
  <c r="BR433" i="2" s="1"/>
  <c r="V433" i="2"/>
  <c r="BT433" i="2" s="1"/>
  <c r="U433" i="2"/>
  <c r="BQ433" i="2" s="1"/>
  <c r="BS433" i="2" s="1"/>
  <c r="BV433" i="2" s="1"/>
  <c r="T433" i="2"/>
  <c r="R433" i="2"/>
  <c r="Q433" i="2"/>
  <c r="Z433" i="2" s="1"/>
  <c r="P433" i="2"/>
  <c r="Y433" i="2" s="1"/>
  <c r="O433" i="2"/>
  <c r="J433" i="2"/>
  <c r="G433" i="2"/>
  <c r="I433" i="2" s="1"/>
  <c r="BO432" i="2"/>
  <c r="BN432" i="2"/>
  <c r="BP432" i="2" s="1"/>
  <c r="X432" i="2"/>
  <c r="V432" i="2"/>
  <c r="BT432" i="2" s="1"/>
  <c r="T432" i="2"/>
  <c r="S432" i="2"/>
  <c r="R432" i="2"/>
  <c r="Q432" i="2"/>
  <c r="Z432" i="2" s="1"/>
  <c r="P432" i="2"/>
  <c r="Y432" i="2" s="1"/>
  <c r="O432" i="2"/>
  <c r="U432" i="2" s="1"/>
  <c r="BQ432" i="2" s="1"/>
  <c r="I432" i="2"/>
  <c r="G432" i="2"/>
  <c r="J432" i="2" s="1"/>
  <c r="Y431" i="2"/>
  <c r="X431" i="2"/>
  <c r="V431" i="2"/>
  <c r="BT431" i="2" s="1"/>
  <c r="T431" i="2"/>
  <c r="S431" i="2"/>
  <c r="R431" i="2"/>
  <c r="Q431" i="2"/>
  <c r="BO431" i="2" s="1"/>
  <c r="P431" i="2"/>
  <c r="O431" i="2"/>
  <c r="BN431" i="2" s="1"/>
  <c r="BP431" i="2" s="1"/>
  <c r="G431" i="2"/>
  <c r="J431" i="2" s="1"/>
  <c r="BT430" i="2"/>
  <c r="Z430" i="2"/>
  <c r="Y430" i="2"/>
  <c r="W430" i="2"/>
  <c r="BR430" i="2" s="1"/>
  <c r="T430" i="2"/>
  <c r="S430" i="2"/>
  <c r="V430" i="2" s="1"/>
  <c r="R430" i="2"/>
  <c r="Q430" i="2"/>
  <c r="BO430" i="2" s="1"/>
  <c r="P430" i="2"/>
  <c r="O430" i="2"/>
  <c r="X430" i="2" s="1"/>
  <c r="J430" i="2"/>
  <c r="I430" i="2"/>
  <c r="G430" i="2"/>
  <c r="BT429" i="2"/>
  <c r="AO429" i="2"/>
  <c r="Q429" i="2" s="1"/>
  <c r="Y429" i="2"/>
  <c r="V429" i="2"/>
  <c r="T429" i="2"/>
  <c r="S429" i="2"/>
  <c r="R429" i="2"/>
  <c r="P429" i="2"/>
  <c r="O429" i="2"/>
  <c r="X429" i="2" s="1"/>
  <c r="J429" i="2"/>
  <c r="I429" i="2"/>
  <c r="G429" i="2"/>
  <c r="BO428" i="2"/>
  <c r="AN428" i="2"/>
  <c r="P428" i="2" s="1"/>
  <c r="X428" i="2"/>
  <c r="T428" i="2"/>
  <c r="R428" i="2"/>
  <c r="Q428" i="2"/>
  <c r="Z428" i="2" s="1"/>
  <c r="O428" i="2"/>
  <c r="BN428" i="2" s="1"/>
  <c r="BP428" i="2" s="1"/>
  <c r="I428" i="2"/>
  <c r="G428" i="2"/>
  <c r="J428" i="2" s="1"/>
  <c r="Y427" i="2"/>
  <c r="X427" i="2"/>
  <c r="V427" i="2"/>
  <c r="BT427" i="2" s="1"/>
  <c r="T427" i="2"/>
  <c r="S427" i="2"/>
  <c r="R427" i="2"/>
  <c r="Q427" i="2"/>
  <c r="BO427" i="2" s="1"/>
  <c r="P427" i="2"/>
  <c r="O427" i="2"/>
  <c r="BN427" i="2" s="1"/>
  <c r="BP427" i="2" s="1"/>
  <c r="G427" i="2"/>
  <c r="J427" i="2" s="1"/>
  <c r="BT426" i="2"/>
  <c r="Z426" i="2"/>
  <c r="Y426" i="2"/>
  <c r="W426" i="2"/>
  <c r="BR426" i="2" s="1"/>
  <c r="T426" i="2"/>
  <c r="S426" i="2"/>
  <c r="V426" i="2" s="1"/>
  <c r="R426" i="2"/>
  <c r="Q426" i="2"/>
  <c r="BO426" i="2" s="1"/>
  <c r="P426" i="2"/>
  <c r="O426" i="2"/>
  <c r="X426" i="2" s="1"/>
  <c r="J426" i="2"/>
  <c r="I426" i="2"/>
  <c r="G426" i="2"/>
  <c r="V425" i="2"/>
  <c r="T425" i="2"/>
  <c r="S425" i="2"/>
  <c r="R425" i="2"/>
  <c r="Q425" i="2"/>
  <c r="Z425" i="2" s="1"/>
  <c r="P425" i="2"/>
  <c r="Y425" i="2" s="1"/>
  <c r="O425" i="2"/>
  <c r="G425" i="2"/>
  <c r="I425" i="2" s="1"/>
  <c r="BO424" i="2"/>
  <c r="Y424" i="2"/>
  <c r="T424" i="2"/>
  <c r="S424" i="2"/>
  <c r="V424" i="2" s="1"/>
  <c r="BT424" i="2" s="1"/>
  <c r="R424" i="2"/>
  <c r="Q424" i="2"/>
  <c r="Z424" i="2" s="1"/>
  <c r="P424" i="2"/>
  <c r="O424" i="2"/>
  <c r="X424" i="2" s="1"/>
  <c r="G424" i="2"/>
  <c r="BM423" i="2"/>
  <c r="BL423" i="2"/>
  <c r="BK423" i="2"/>
  <c r="BJ423" i="2"/>
  <c r="BI423" i="2"/>
  <c r="BH423" i="2"/>
  <c r="BG423" i="2"/>
  <c r="BF423" i="2"/>
  <c r="BE423" i="2"/>
  <c r="BD423" i="2"/>
  <c r="BC423" i="2"/>
  <c r="BB423" i="2"/>
  <c r="BA423" i="2"/>
  <c r="AZ423" i="2"/>
  <c r="AY423" i="2"/>
  <c r="AX423" i="2"/>
  <c r="AW423" i="2"/>
  <c r="AV423" i="2"/>
  <c r="AU423" i="2"/>
  <c r="AT423" i="2"/>
  <c r="AS423" i="2"/>
  <c r="AR423" i="2"/>
  <c r="AQ423" i="2"/>
  <c r="AP423" i="2"/>
  <c r="AN423" i="2"/>
  <c r="AM423" i="2"/>
  <c r="AL423" i="2"/>
  <c r="AJ423" i="2"/>
  <c r="AI423" i="2"/>
  <c r="AH423" i="2"/>
  <c r="AG423" i="2"/>
  <c r="AF423" i="2"/>
  <c r="AE423" i="2"/>
  <c r="AD423" i="2"/>
  <c r="AC423" i="2"/>
  <c r="AB423" i="2"/>
  <c r="AA423" i="2"/>
  <c r="M423" i="2"/>
  <c r="L423" i="2"/>
  <c r="K423" i="2"/>
  <c r="H423" i="2"/>
  <c r="G423" i="2"/>
  <c r="F423" i="2"/>
  <c r="E423" i="2"/>
  <c r="BT422" i="2"/>
  <c r="BT421" i="2" s="1"/>
  <c r="BN422" i="2"/>
  <c r="V422" i="2"/>
  <c r="V421" i="2" s="1"/>
  <c r="T422" i="2"/>
  <c r="S422" i="2"/>
  <c r="R422" i="2"/>
  <c r="R421" i="2" s="1"/>
  <c r="Q422" i="2"/>
  <c r="Z422" i="2" s="1"/>
  <c r="P422" i="2"/>
  <c r="P421" i="2" s="1"/>
  <c r="Y421" i="2" s="1"/>
  <c r="O422" i="2"/>
  <c r="G422" i="2"/>
  <c r="BM421" i="2"/>
  <c r="BM420" i="2" s="1"/>
  <c r="BL421" i="2"/>
  <c r="BK421" i="2"/>
  <c r="BJ421" i="2"/>
  <c r="BI421" i="2"/>
  <c r="BH421" i="2"/>
  <c r="BG421" i="2"/>
  <c r="BG420" i="2" s="1"/>
  <c r="BF421" i="2"/>
  <c r="BE421" i="2"/>
  <c r="BD421" i="2"/>
  <c r="BC421" i="2"/>
  <c r="BB421" i="2"/>
  <c r="BA421" i="2"/>
  <c r="BA420" i="2" s="1"/>
  <c r="AZ421" i="2"/>
  <c r="AY421" i="2"/>
  <c r="AX421" i="2"/>
  <c r="AW421" i="2"/>
  <c r="AV421" i="2"/>
  <c r="AU421" i="2"/>
  <c r="AU420" i="2" s="1"/>
  <c r="AT421" i="2"/>
  <c r="AS421" i="2"/>
  <c r="AR421" i="2"/>
  <c r="AQ421" i="2"/>
  <c r="AP421" i="2"/>
  <c r="AO421" i="2"/>
  <c r="AN421" i="2"/>
  <c r="AM421" i="2"/>
  <c r="AL421" i="2"/>
  <c r="AK421" i="2"/>
  <c r="AJ421" i="2"/>
  <c r="AI421" i="2"/>
  <c r="AI420" i="2" s="1"/>
  <c r="AH421" i="2"/>
  <c r="AG421" i="2"/>
  <c r="AF421" i="2"/>
  <c r="AF420" i="2" s="1"/>
  <c r="AE421" i="2"/>
  <c r="AD421" i="2"/>
  <c r="AC421" i="2"/>
  <c r="AC420" i="2" s="1"/>
  <c r="AB421" i="2"/>
  <c r="AA421" i="2"/>
  <c r="T421" i="2"/>
  <c r="S421" i="2"/>
  <c r="Q421" i="2"/>
  <c r="N421" i="2"/>
  <c r="M421" i="2"/>
  <c r="M420" i="2" s="1"/>
  <c r="L421" i="2"/>
  <c r="K421" i="2"/>
  <c r="K420" i="2" s="1"/>
  <c r="H421" i="2"/>
  <c r="H420" i="2" s="1"/>
  <c r="G421" i="2"/>
  <c r="J421" i="2" s="1"/>
  <c r="F421" i="2"/>
  <c r="E421" i="2"/>
  <c r="E420" i="2" s="1"/>
  <c r="BL420" i="2"/>
  <c r="BK420" i="2"/>
  <c r="BH420" i="2"/>
  <c r="BF420" i="2"/>
  <c r="BE420" i="2"/>
  <c r="BB420" i="2"/>
  <c r="AZ420" i="2"/>
  <c r="AY420" i="2"/>
  <c r="AV420" i="2"/>
  <c r="AT420" i="2"/>
  <c r="AS420" i="2"/>
  <c r="AP420" i="2"/>
  <c r="AN420" i="2"/>
  <c r="AM420" i="2"/>
  <c r="AJ420" i="2"/>
  <c r="AH420" i="2"/>
  <c r="AG420" i="2"/>
  <c r="AD420" i="2"/>
  <c r="AB420" i="2"/>
  <c r="AA420" i="2"/>
  <c r="F420" i="2"/>
  <c r="Z419" i="2"/>
  <c r="X419" i="2"/>
  <c r="T419" i="2"/>
  <c r="T418" i="2" s="1"/>
  <c r="S419" i="2"/>
  <c r="V419" i="2" s="1"/>
  <c r="BT419" i="2" s="1"/>
  <c r="BT418" i="2" s="1"/>
  <c r="R419" i="2"/>
  <c r="R418" i="2" s="1"/>
  <c r="Q419" i="2"/>
  <c r="W419" i="2" s="1"/>
  <c r="P419" i="2"/>
  <c r="Y419" i="2" s="1"/>
  <c r="O419" i="2"/>
  <c r="BN419" i="2" s="1"/>
  <c r="G419" i="2"/>
  <c r="BM418" i="2"/>
  <c r="BL418" i="2"/>
  <c r="BL406" i="2" s="1"/>
  <c r="BK418" i="2"/>
  <c r="BJ418" i="2"/>
  <c r="BI418" i="2"/>
  <c r="BH418" i="2"/>
  <c r="BG418" i="2"/>
  <c r="BF418" i="2"/>
  <c r="BF406" i="2" s="1"/>
  <c r="BE418" i="2"/>
  <c r="BD418" i="2"/>
  <c r="BC418" i="2"/>
  <c r="BB418" i="2"/>
  <c r="BA418" i="2"/>
  <c r="AZ418" i="2"/>
  <c r="AZ406" i="2" s="1"/>
  <c r="AY418" i="2"/>
  <c r="AX418" i="2"/>
  <c r="AW418" i="2"/>
  <c r="AV418" i="2"/>
  <c r="AU418" i="2"/>
  <c r="AT418" i="2"/>
  <c r="AT406" i="2" s="1"/>
  <c r="AS418" i="2"/>
  <c r="AR418" i="2"/>
  <c r="AQ418" i="2"/>
  <c r="AP418" i="2"/>
  <c r="AO418" i="2"/>
  <c r="AN418" i="2"/>
  <c r="AN406" i="2" s="1"/>
  <c r="AM418" i="2"/>
  <c r="AL418" i="2"/>
  <c r="AK418" i="2"/>
  <c r="AJ418" i="2"/>
  <c r="AI418" i="2"/>
  <c r="AH418" i="2"/>
  <c r="AH406" i="2" s="1"/>
  <c r="AG418" i="2"/>
  <c r="AF418" i="2"/>
  <c r="AE418" i="2"/>
  <c r="AD418" i="2"/>
  <c r="AC418" i="2"/>
  <c r="AB418" i="2"/>
  <c r="AB406" i="2" s="1"/>
  <c r="AA418" i="2"/>
  <c r="X418" i="2"/>
  <c r="V418" i="2"/>
  <c r="S418" i="2"/>
  <c r="P418" i="2"/>
  <c r="Y418" i="2" s="1"/>
  <c r="O418" i="2"/>
  <c r="N418" i="2"/>
  <c r="M418" i="2"/>
  <c r="L418" i="2"/>
  <c r="K418" i="2"/>
  <c r="H418" i="2"/>
  <c r="F418" i="2"/>
  <c r="E418" i="2"/>
  <c r="Z417" i="2"/>
  <c r="X417" i="2"/>
  <c r="T417" i="2"/>
  <c r="S417" i="2"/>
  <c r="V417" i="2" s="1"/>
  <c r="BT417" i="2" s="1"/>
  <c r="R417" i="2"/>
  <c r="Q417" i="2"/>
  <c r="W417" i="2" s="1"/>
  <c r="BR417" i="2" s="1"/>
  <c r="P417" i="2"/>
  <c r="Y417" i="2" s="1"/>
  <c r="O417" i="2"/>
  <c r="BN417" i="2" s="1"/>
  <c r="G417" i="2"/>
  <c r="BO416" i="2"/>
  <c r="Y416" i="2"/>
  <c r="T416" i="2"/>
  <c r="S416" i="2"/>
  <c r="V416" i="2" s="1"/>
  <c r="BT416" i="2" s="1"/>
  <c r="R416" i="2"/>
  <c r="Q416" i="2"/>
  <c r="W416" i="2" s="1"/>
  <c r="BR416" i="2" s="1"/>
  <c r="P416" i="2"/>
  <c r="O416" i="2"/>
  <c r="X416" i="2" s="1"/>
  <c r="I416" i="2"/>
  <c r="G416" i="2"/>
  <c r="J416" i="2" s="1"/>
  <c r="BO415" i="2"/>
  <c r="Z415" i="2"/>
  <c r="V415" i="2"/>
  <c r="BT415" i="2" s="1"/>
  <c r="T415" i="2"/>
  <c r="S415" i="2"/>
  <c r="R415" i="2"/>
  <c r="Q415" i="2"/>
  <c r="W415" i="2" s="1"/>
  <c r="BR415" i="2" s="1"/>
  <c r="P415" i="2"/>
  <c r="Y415" i="2" s="1"/>
  <c r="O415" i="2"/>
  <c r="X415" i="2" s="1"/>
  <c r="J415" i="2"/>
  <c r="I415" i="2"/>
  <c r="G415" i="2"/>
  <c r="BN414" i="2"/>
  <c r="T414" i="2"/>
  <c r="S414" i="2"/>
  <c r="V414" i="2" s="1"/>
  <c r="BT414" i="2" s="1"/>
  <c r="R414" i="2"/>
  <c r="Q414" i="2"/>
  <c r="Z414" i="2" s="1"/>
  <c r="P414" i="2"/>
  <c r="Y414" i="2" s="1"/>
  <c r="O414" i="2"/>
  <c r="X414" i="2" s="1"/>
  <c r="J414" i="2"/>
  <c r="G414" i="2"/>
  <c r="I414" i="2" s="1"/>
  <c r="BO413" i="2"/>
  <c r="V413" i="2"/>
  <c r="BT413" i="2" s="1"/>
  <c r="T413" i="2"/>
  <c r="S413" i="2"/>
  <c r="R413" i="2"/>
  <c r="Q413" i="2"/>
  <c r="Z413" i="2" s="1"/>
  <c r="P413" i="2"/>
  <c r="Y413" i="2" s="1"/>
  <c r="O413" i="2"/>
  <c r="BN413" i="2" s="1"/>
  <c r="BP413" i="2" s="1"/>
  <c r="G413" i="2"/>
  <c r="J413" i="2" s="1"/>
  <c r="BP412" i="2"/>
  <c r="AR412" i="2"/>
  <c r="AO412" i="2"/>
  <c r="Q412" i="2" s="1"/>
  <c r="BO412" i="2" s="1"/>
  <c r="AL412" i="2"/>
  <c r="Y412" i="2"/>
  <c r="T412" i="2"/>
  <c r="S412" i="2"/>
  <c r="V412" i="2" s="1"/>
  <c r="BT412" i="2" s="1"/>
  <c r="R412" i="2"/>
  <c r="P412" i="2"/>
  <c r="O412" i="2"/>
  <c r="BN412" i="2" s="1"/>
  <c r="N412" i="2"/>
  <c r="J412" i="2"/>
  <c r="G412" i="2"/>
  <c r="I412" i="2" s="1"/>
  <c r="BO411" i="2"/>
  <c r="BN411" i="2"/>
  <c r="AR411" i="2"/>
  <c r="AO411" i="2"/>
  <c r="X411" i="2"/>
  <c r="T411" i="2"/>
  <c r="S411" i="2"/>
  <c r="V411" i="2" s="1"/>
  <c r="BT411" i="2" s="1"/>
  <c r="R411" i="2"/>
  <c r="R407" i="2" s="1"/>
  <c r="R406" i="2" s="1"/>
  <c r="Q411" i="2"/>
  <c r="W411" i="2" s="1"/>
  <c r="BR411" i="2" s="1"/>
  <c r="P411" i="2"/>
  <c r="Y411" i="2" s="1"/>
  <c r="O411" i="2"/>
  <c r="U411" i="2" s="1"/>
  <c r="BQ411" i="2" s="1"/>
  <c r="N411" i="2"/>
  <c r="I411" i="2"/>
  <c r="G411" i="2"/>
  <c r="J411" i="2" s="1"/>
  <c r="BO410" i="2"/>
  <c r="Z410" i="2"/>
  <c r="Y410" i="2"/>
  <c r="T410" i="2"/>
  <c r="S410" i="2"/>
  <c r="V410" i="2" s="1"/>
  <c r="BT410" i="2" s="1"/>
  <c r="R410" i="2"/>
  <c r="Q410" i="2"/>
  <c r="W410" i="2" s="1"/>
  <c r="BR410" i="2" s="1"/>
  <c r="P410" i="2"/>
  <c r="O410" i="2"/>
  <c r="X410" i="2" s="1"/>
  <c r="J410" i="2"/>
  <c r="I410" i="2"/>
  <c r="G410" i="2"/>
  <c r="BT409" i="2"/>
  <c r="BN409" i="2"/>
  <c r="AR409" i="2"/>
  <c r="AO409" i="2"/>
  <c r="AL409" i="2"/>
  <c r="AI409" i="2"/>
  <c r="Q409" i="2" s="1"/>
  <c r="Y409" i="2"/>
  <c r="X409" i="2"/>
  <c r="S409" i="2"/>
  <c r="V409" i="2" s="1"/>
  <c r="R409" i="2"/>
  <c r="P409" i="2"/>
  <c r="O409" i="2"/>
  <c r="U409" i="2" s="1"/>
  <c r="BQ409" i="2" s="1"/>
  <c r="N409" i="2"/>
  <c r="W409" i="2" s="1"/>
  <c r="BR409" i="2" s="1"/>
  <c r="J409" i="2"/>
  <c r="I409" i="2"/>
  <c r="G409" i="2"/>
  <c r="BN408" i="2"/>
  <c r="AR408" i="2"/>
  <c r="AR407" i="2" s="1"/>
  <c r="AR406" i="2" s="1"/>
  <c r="AO408" i="2"/>
  <c r="AL408" i="2"/>
  <c r="AI408" i="2"/>
  <c r="Q408" i="2" s="1"/>
  <c r="Y408" i="2"/>
  <c r="X408" i="2"/>
  <c r="S408" i="2"/>
  <c r="R408" i="2"/>
  <c r="P408" i="2"/>
  <c r="P407" i="2" s="1"/>
  <c r="O408" i="2"/>
  <c r="O407" i="2" s="1"/>
  <c r="O406" i="2" s="1"/>
  <c r="X406" i="2" s="1"/>
  <c r="N408" i="2"/>
  <c r="J408" i="2"/>
  <c r="I408" i="2"/>
  <c r="G408" i="2"/>
  <c r="BM407" i="2"/>
  <c r="BL407" i="2"/>
  <c r="BK407" i="2"/>
  <c r="BK406" i="2" s="1"/>
  <c r="BJ407" i="2"/>
  <c r="BJ406" i="2" s="1"/>
  <c r="BI407" i="2"/>
  <c r="BH407" i="2"/>
  <c r="BH406" i="2" s="1"/>
  <c r="BG407" i="2"/>
  <c r="BF407" i="2"/>
  <c r="BE407" i="2"/>
  <c r="BE406" i="2" s="1"/>
  <c r="BD407" i="2"/>
  <c r="BD406" i="2" s="1"/>
  <c r="BC407" i="2"/>
  <c r="BB407" i="2"/>
  <c r="BB406" i="2" s="1"/>
  <c r="BA407" i="2"/>
  <c r="AZ407" i="2"/>
  <c r="AY407" i="2"/>
  <c r="AY406" i="2" s="1"/>
  <c r="AX407" i="2"/>
  <c r="AX406" i="2" s="1"/>
  <c r="AW407" i="2"/>
  <c r="AV407" i="2"/>
  <c r="AV406" i="2" s="1"/>
  <c r="AU407" i="2"/>
  <c r="AT407" i="2"/>
  <c r="AS407" i="2"/>
  <c r="AS406" i="2" s="1"/>
  <c r="AQ407" i="2"/>
  <c r="AP407" i="2"/>
  <c r="AP406" i="2" s="1"/>
  <c r="AO407" i="2"/>
  <c r="AN407" i="2"/>
  <c r="AM407" i="2"/>
  <c r="AM406" i="2" s="1"/>
  <c r="AL407" i="2"/>
  <c r="AL406" i="2" s="1"/>
  <c r="AK407" i="2"/>
  <c r="AJ407" i="2"/>
  <c r="AJ406" i="2" s="1"/>
  <c r="AI407" i="2"/>
  <c r="AH407" i="2"/>
  <c r="AG407" i="2"/>
  <c r="AG406" i="2" s="1"/>
  <c r="AF407" i="2"/>
  <c r="AF406" i="2" s="1"/>
  <c r="AE407" i="2"/>
  <c r="AD407" i="2"/>
  <c r="AD406" i="2" s="1"/>
  <c r="AC407" i="2"/>
  <c r="AB407" i="2"/>
  <c r="AA407" i="2"/>
  <c r="AA406" i="2" s="1"/>
  <c r="M407" i="2"/>
  <c r="L407" i="2"/>
  <c r="L406" i="2" s="1"/>
  <c r="K407" i="2"/>
  <c r="H407" i="2"/>
  <c r="H406" i="2" s="1"/>
  <c r="F407" i="2"/>
  <c r="F406" i="2" s="1"/>
  <c r="E407" i="2"/>
  <c r="S224" i="3" s="1"/>
  <c r="BM406" i="2"/>
  <c r="BI406" i="2"/>
  <c r="BG406" i="2"/>
  <c r="BC406" i="2"/>
  <c r="BA406" i="2"/>
  <c r="AW406" i="2"/>
  <c r="AU406" i="2"/>
  <c r="AQ406" i="2"/>
  <c r="AO406" i="2"/>
  <c r="AK406" i="2"/>
  <c r="AI406" i="2"/>
  <c r="AE406" i="2"/>
  <c r="AC406" i="2"/>
  <c r="M406" i="2"/>
  <c r="K406" i="2"/>
  <c r="E406" i="2"/>
  <c r="BR405" i="2"/>
  <c r="BR404" i="2" s="1"/>
  <c r="BO405" i="2"/>
  <c r="Y405" i="2"/>
  <c r="X405" i="2"/>
  <c r="T405" i="2"/>
  <c r="S405" i="2"/>
  <c r="R405" i="2"/>
  <c r="R404" i="2" s="1"/>
  <c r="R400" i="2" s="1"/>
  <c r="Q405" i="2"/>
  <c r="W405" i="2" s="1"/>
  <c r="P405" i="2"/>
  <c r="O405" i="2"/>
  <c r="O404" i="2" s="1"/>
  <c r="X404" i="2" s="1"/>
  <c r="I405" i="2"/>
  <c r="G405" i="2"/>
  <c r="G404" i="2" s="1"/>
  <c r="BO404" i="2"/>
  <c r="BM404" i="2"/>
  <c r="BM400" i="2" s="1"/>
  <c r="BL404" i="2"/>
  <c r="BK404" i="2"/>
  <c r="BJ404" i="2"/>
  <c r="BI404" i="2"/>
  <c r="BH404" i="2"/>
  <c r="BG404" i="2"/>
  <c r="BG400" i="2" s="1"/>
  <c r="BF404" i="2"/>
  <c r="BE404" i="2"/>
  <c r="BD404" i="2"/>
  <c r="BC404" i="2"/>
  <c r="BB404" i="2"/>
  <c r="BA404" i="2"/>
  <c r="BA400" i="2" s="1"/>
  <c r="AZ404" i="2"/>
  <c r="AY404" i="2"/>
  <c r="AX404" i="2"/>
  <c r="AW404" i="2"/>
  <c r="AV404" i="2"/>
  <c r="AU404" i="2"/>
  <c r="AU400" i="2" s="1"/>
  <c r="AT404" i="2"/>
  <c r="AS404" i="2"/>
  <c r="AR404" i="2"/>
  <c r="AQ404" i="2"/>
  <c r="AP404" i="2"/>
  <c r="AO404" i="2"/>
  <c r="AO400" i="2" s="1"/>
  <c r="AN404" i="2"/>
  <c r="AM404" i="2"/>
  <c r="AL404" i="2"/>
  <c r="AK404" i="2"/>
  <c r="AJ404" i="2"/>
  <c r="AI404" i="2"/>
  <c r="AI400" i="2" s="1"/>
  <c r="AH404" i="2"/>
  <c r="AG404" i="2"/>
  <c r="AF404" i="2"/>
  <c r="AE404" i="2"/>
  <c r="AD404" i="2"/>
  <c r="AC404" i="2"/>
  <c r="AC400" i="2" s="1"/>
  <c r="AB404" i="2"/>
  <c r="AA404" i="2"/>
  <c r="W404" i="2"/>
  <c r="T404" i="2"/>
  <c r="Q404" i="2"/>
  <c r="Z404" i="2" s="1"/>
  <c r="P404" i="2"/>
  <c r="Y404" i="2" s="1"/>
  <c r="N404" i="2"/>
  <c r="M404" i="2"/>
  <c r="L404" i="2"/>
  <c r="K404" i="2"/>
  <c r="K400" i="2" s="1"/>
  <c r="H404" i="2"/>
  <c r="F404" i="2"/>
  <c r="E404" i="2"/>
  <c r="E400" i="2" s="1"/>
  <c r="BN403" i="2"/>
  <c r="AN403" i="2"/>
  <c r="Z403" i="2"/>
  <c r="Y403" i="2"/>
  <c r="T403" i="2"/>
  <c r="S403" i="2"/>
  <c r="V403" i="2" s="1"/>
  <c r="BT403" i="2" s="1"/>
  <c r="R403" i="2"/>
  <c r="Q403" i="2"/>
  <c r="BO403" i="2" s="1"/>
  <c r="P403" i="2"/>
  <c r="P401" i="2" s="1"/>
  <c r="P400" i="2" s="1"/>
  <c r="O403" i="2"/>
  <c r="X403" i="2" s="1"/>
  <c r="J403" i="2"/>
  <c r="I403" i="2"/>
  <c r="G403" i="2"/>
  <c r="BT402" i="2"/>
  <c r="BT401" i="2" s="1"/>
  <c r="Z402" i="2"/>
  <c r="T402" i="2"/>
  <c r="S402" i="2"/>
  <c r="V402" i="2" s="1"/>
  <c r="V401" i="2" s="1"/>
  <c r="R402" i="2"/>
  <c r="Q402" i="2"/>
  <c r="Q401" i="2" s="1"/>
  <c r="P402" i="2"/>
  <c r="Y402" i="2" s="1"/>
  <c r="O402" i="2"/>
  <c r="BN402" i="2" s="1"/>
  <c r="J402" i="2"/>
  <c r="G402" i="2"/>
  <c r="I402" i="2" s="1"/>
  <c r="BM401" i="2"/>
  <c r="BL401" i="2"/>
  <c r="BL400" i="2" s="1"/>
  <c r="BK401" i="2"/>
  <c r="BK400" i="2" s="1"/>
  <c r="BJ401" i="2"/>
  <c r="BI401" i="2"/>
  <c r="BI400" i="2" s="1"/>
  <c r="BI385" i="2" s="1"/>
  <c r="BH401" i="2"/>
  <c r="BG401" i="2"/>
  <c r="BF401" i="2"/>
  <c r="BF400" i="2" s="1"/>
  <c r="BE401" i="2"/>
  <c r="BE400" i="2" s="1"/>
  <c r="BD401" i="2"/>
  <c r="BC401" i="2"/>
  <c r="BC400" i="2" s="1"/>
  <c r="BB401" i="2"/>
  <c r="BA401" i="2"/>
  <c r="AZ401" i="2"/>
  <c r="AZ400" i="2" s="1"/>
  <c r="AY401" i="2"/>
  <c r="AY400" i="2" s="1"/>
  <c r="AX401" i="2"/>
  <c r="AW401" i="2"/>
  <c r="AW400" i="2" s="1"/>
  <c r="AW385" i="2" s="1"/>
  <c r="AV401" i="2"/>
  <c r="AU401" i="2"/>
  <c r="AT401" i="2"/>
  <c r="AT400" i="2" s="1"/>
  <c r="AS401" i="2"/>
  <c r="AS400" i="2" s="1"/>
  <c r="AR401" i="2"/>
  <c r="AQ401" i="2"/>
  <c r="AQ400" i="2" s="1"/>
  <c r="AQ385" i="2" s="1"/>
  <c r="AP401" i="2"/>
  <c r="AO401" i="2"/>
  <c r="AN401" i="2"/>
  <c r="AN400" i="2" s="1"/>
  <c r="AM401" i="2"/>
  <c r="AM400" i="2" s="1"/>
  <c r="AL401" i="2"/>
  <c r="AK401" i="2"/>
  <c r="AK400" i="2" s="1"/>
  <c r="AJ401" i="2"/>
  <c r="AI401" i="2"/>
  <c r="AH401" i="2"/>
  <c r="AH400" i="2" s="1"/>
  <c r="AG401" i="2"/>
  <c r="AG400" i="2" s="1"/>
  <c r="AF401" i="2"/>
  <c r="AE401" i="2"/>
  <c r="AE400" i="2" s="1"/>
  <c r="AE385" i="2" s="1"/>
  <c r="AD401" i="2"/>
  <c r="AC401" i="2"/>
  <c r="AB401" i="2"/>
  <c r="AB400" i="2" s="1"/>
  <c r="AA401" i="2"/>
  <c r="AA400" i="2" s="1"/>
  <c r="Y401" i="2"/>
  <c r="S401" i="2"/>
  <c r="R401" i="2"/>
  <c r="N401" i="2"/>
  <c r="M401" i="2"/>
  <c r="M400" i="2" s="1"/>
  <c r="L401" i="2"/>
  <c r="K401" i="2"/>
  <c r="H401" i="2"/>
  <c r="G401" i="2"/>
  <c r="F401" i="2"/>
  <c r="E401" i="2"/>
  <c r="BJ400" i="2"/>
  <c r="BH400" i="2"/>
  <c r="BD400" i="2"/>
  <c r="BB400" i="2"/>
  <c r="BB385" i="2" s="1"/>
  <c r="BB384" i="2" s="1"/>
  <c r="AX400" i="2"/>
  <c r="AV400" i="2"/>
  <c r="AR400" i="2"/>
  <c r="AP400" i="2"/>
  <c r="AL400" i="2"/>
  <c r="AJ400" i="2"/>
  <c r="AJ385" i="2" s="1"/>
  <c r="AJ384" i="2" s="1"/>
  <c r="AF400" i="2"/>
  <c r="AD400" i="2"/>
  <c r="N400" i="2"/>
  <c r="L400" i="2"/>
  <c r="H400" i="2"/>
  <c r="F400" i="2"/>
  <c r="BO399" i="2"/>
  <c r="BO398" i="2" s="1"/>
  <c r="Z399" i="2"/>
  <c r="Y399" i="2"/>
  <c r="T399" i="2"/>
  <c r="T398" i="2" s="1"/>
  <c r="S399" i="2"/>
  <c r="V399" i="2" s="1"/>
  <c r="R399" i="2"/>
  <c r="Q399" i="2"/>
  <c r="W399" i="2" s="1"/>
  <c r="P399" i="2"/>
  <c r="P398" i="2" s="1"/>
  <c r="Y398" i="2" s="1"/>
  <c r="O399" i="2"/>
  <c r="X399" i="2" s="1"/>
  <c r="J399" i="2"/>
  <c r="I399" i="2"/>
  <c r="G399" i="2"/>
  <c r="BM398" i="2"/>
  <c r="BL398" i="2"/>
  <c r="BK398" i="2"/>
  <c r="BJ398" i="2"/>
  <c r="BI398" i="2"/>
  <c r="BH398" i="2"/>
  <c r="BG398" i="2"/>
  <c r="BF398" i="2"/>
  <c r="BE398" i="2"/>
  <c r="BD398" i="2"/>
  <c r="BC398" i="2"/>
  <c r="BB398" i="2"/>
  <c r="BA398" i="2"/>
  <c r="AZ398" i="2"/>
  <c r="AY398" i="2"/>
  <c r="AX398" i="2"/>
  <c r="AW398" i="2"/>
  <c r="AV398" i="2"/>
  <c r="AV385" i="2" s="1"/>
  <c r="AV384" i="2" s="1"/>
  <c r="AU398" i="2"/>
  <c r="AT398" i="2"/>
  <c r="AS398" i="2"/>
  <c r="AR398" i="2"/>
  <c r="AQ398" i="2"/>
  <c r="AP398" i="2"/>
  <c r="AO398" i="2"/>
  <c r="AN398" i="2"/>
  <c r="AM398" i="2"/>
  <c r="AL398" i="2"/>
  <c r="AK398" i="2"/>
  <c r="AJ398" i="2"/>
  <c r="AI398" i="2"/>
  <c r="AH398" i="2"/>
  <c r="AG398" i="2"/>
  <c r="AF398" i="2"/>
  <c r="AE398" i="2"/>
  <c r="AD398" i="2"/>
  <c r="AD385" i="2" s="1"/>
  <c r="AD384" i="2" s="1"/>
  <c r="AC398" i="2"/>
  <c r="AB398" i="2"/>
  <c r="AA398" i="2"/>
  <c r="X398" i="2"/>
  <c r="R398" i="2"/>
  <c r="Q398" i="2"/>
  <c r="Z398" i="2" s="1"/>
  <c r="O398" i="2"/>
  <c r="N398" i="2"/>
  <c r="M398" i="2"/>
  <c r="L398" i="2"/>
  <c r="L385" i="2" s="1"/>
  <c r="K398" i="2"/>
  <c r="I398" i="2"/>
  <c r="H398" i="2"/>
  <c r="G398" i="2"/>
  <c r="J398" i="2" s="1"/>
  <c r="F398" i="2"/>
  <c r="E398" i="2"/>
  <c r="BO397" i="2"/>
  <c r="Z397" i="2"/>
  <c r="Y397" i="2"/>
  <c r="T397" i="2"/>
  <c r="T394" i="2" s="1"/>
  <c r="S397" i="2"/>
  <c r="V397" i="2" s="1"/>
  <c r="BT397" i="2" s="1"/>
  <c r="R397" i="2"/>
  <c r="Q397" i="2"/>
  <c r="W397" i="2" s="1"/>
  <c r="BR397" i="2" s="1"/>
  <c r="P397" i="2"/>
  <c r="O397" i="2"/>
  <c r="X397" i="2" s="1"/>
  <c r="E397" i="2"/>
  <c r="G397" i="2" s="1"/>
  <c r="I397" i="2" s="1"/>
  <c r="BO396" i="2"/>
  <c r="V396" i="2"/>
  <c r="BT396" i="2" s="1"/>
  <c r="T396" i="2"/>
  <c r="S396" i="2"/>
  <c r="R396" i="2"/>
  <c r="R394" i="2" s="1"/>
  <c r="Q396" i="2"/>
  <c r="Z396" i="2" s="1"/>
  <c r="P396" i="2"/>
  <c r="Y396" i="2" s="1"/>
  <c r="O396" i="2"/>
  <c r="BN396" i="2" s="1"/>
  <c r="BP396" i="2" s="1"/>
  <c r="BU396" i="2" s="1"/>
  <c r="G396" i="2"/>
  <c r="J396" i="2" s="1"/>
  <c r="V395" i="2"/>
  <c r="BT395" i="2" s="1"/>
  <c r="T395" i="2"/>
  <c r="S395" i="2"/>
  <c r="S394" i="2" s="1"/>
  <c r="R395" i="2"/>
  <c r="Q395" i="2"/>
  <c r="W395" i="2" s="1"/>
  <c r="P395" i="2"/>
  <c r="Y395" i="2" s="1"/>
  <c r="O395" i="2"/>
  <c r="BN395" i="2" s="1"/>
  <c r="J395" i="2"/>
  <c r="I395" i="2"/>
  <c r="G395" i="2"/>
  <c r="BM394" i="2"/>
  <c r="BL394" i="2"/>
  <c r="BK394" i="2"/>
  <c r="BK385" i="2" s="1"/>
  <c r="BJ394" i="2"/>
  <c r="BI394" i="2"/>
  <c r="BH394" i="2"/>
  <c r="BG394" i="2"/>
  <c r="BF394" i="2"/>
  <c r="BE394" i="2"/>
  <c r="BE385" i="2" s="1"/>
  <c r="BD394" i="2"/>
  <c r="BC394" i="2"/>
  <c r="BB394" i="2"/>
  <c r="BA394" i="2"/>
  <c r="AZ394" i="2"/>
  <c r="AY394" i="2"/>
  <c r="AY385" i="2" s="1"/>
  <c r="AX394" i="2"/>
  <c r="AW394" i="2"/>
  <c r="AV394" i="2"/>
  <c r="AU394" i="2"/>
  <c r="AT394" i="2"/>
  <c r="AS394" i="2"/>
  <c r="AS385" i="2" s="1"/>
  <c r="AR394" i="2"/>
  <c r="AQ394" i="2"/>
  <c r="AP394" i="2"/>
  <c r="AO394" i="2"/>
  <c r="AN394" i="2"/>
  <c r="AM394" i="2"/>
  <c r="AM385" i="2" s="1"/>
  <c r="AL394" i="2"/>
  <c r="AK394" i="2"/>
  <c r="AJ394" i="2"/>
  <c r="AI394" i="2"/>
  <c r="AH394" i="2"/>
  <c r="AG394" i="2"/>
  <c r="AG385" i="2" s="1"/>
  <c r="AF394" i="2"/>
  <c r="AE394" i="2"/>
  <c r="AD394" i="2"/>
  <c r="AC394" i="2"/>
  <c r="AB394" i="2"/>
  <c r="AA394" i="2"/>
  <c r="AA385" i="2" s="1"/>
  <c r="O394" i="2"/>
  <c r="X394" i="2" s="1"/>
  <c r="N394" i="2"/>
  <c r="M394" i="2"/>
  <c r="L394" i="2"/>
  <c r="K394" i="2"/>
  <c r="H394" i="2"/>
  <c r="F394" i="2"/>
  <c r="E394" i="2"/>
  <c r="V393" i="2"/>
  <c r="BT393" i="2" s="1"/>
  <c r="T393" i="2"/>
  <c r="S393" i="2"/>
  <c r="R393" i="2"/>
  <c r="Q393" i="2"/>
  <c r="Z393" i="2" s="1"/>
  <c r="P393" i="2"/>
  <c r="Y393" i="2" s="1"/>
  <c r="O393" i="2"/>
  <c r="BN393" i="2" s="1"/>
  <c r="E393" i="2"/>
  <c r="G393" i="2" s="1"/>
  <c r="BR392" i="2"/>
  <c r="BO392" i="2"/>
  <c r="Y392" i="2"/>
  <c r="X392" i="2"/>
  <c r="T392" i="2"/>
  <c r="S392" i="2"/>
  <c r="R392" i="2"/>
  <c r="R391" i="2" s="1"/>
  <c r="Q392" i="2"/>
  <c r="W392" i="2" s="1"/>
  <c r="P392" i="2"/>
  <c r="O392" i="2"/>
  <c r="O391" i="2" s="1"/>
  <c r="X391" i="2" s="1"/>
  <c r="G392" i="2"/>
  <c r="BM391" i="2"/>
  <c r="BL391" i="2"/>
  <c r="BK391" i="2"/>
  <c r="BJ391" i="2"/>
  <c r="BI391" i="2"/>
  <c r="BH391" i="2"/>
  <c r="BG391" i="2"/>
  <c r="BF391" i="2"/>
  <c r="BE391" i="2"/>
  <c r="BD391" i="2"/>
  <c r="BC391" i="2"/>
  <c r="BB391" i="2"/>
  <c r="BA391" i="2"/>
  <c r="AZ391" i="2"/>
  <c r="AY391" i="2"/>
  <c r="AX391" i="2"/>
  <c r="AW391" i="2"/>
  <c r="AV391" i="2"/>
  <c r="AU391" i="2"/>
  <c r="AT391" i="2"/>
  <c r="AS391" i="2"/>
  <c r="AR391" i="2"/>
  <c r="AQ391" i="2"/>
  <c r="AP391" i="2"/>
  <c r="AO391" i="2"/>
  <c r="AN391" i="2"/>
  <c r="AM391" i="2"/>
  <c r="AL391" i="2"/>
  <c r="AK391" i="2"/>
  <c r="AJ391" i="2"/>
  <c r="AI391" i="2"/>
  <c r="AH391" i="2"/>
  <c r="AG391" i="2"/>
  <c r="AF391" i="2"/>
  <c r="AE391" i="2"/>
  <c r="AD391" i="2"/>
  <c r="AC391" i="2"/>
  <c r="AB391" i="2"/>
  <c r="AA391" i="2"/>
  <c r="T391" i="2"/>
  <c r="P391" i="2"/>
  <c r="Y391" i="2" s="1"/>
  <c r="N391" i="2"/>
  <c r="M391" i="2"/>
  <c r="L391" i="2"/>
  <c r="K391" i="2"/>
  <c r="H391" i="2"/>
  <c r="F391" i="2"/>
  <c r="BO390" i="2"/>
  <c r="Y390" i="2"/>
  <c r="X390" i="2"/>
  <c r="T390" i="2"/>
  <c r="S390" i="2"/>
  <c r="V390" i="2" s="1"/>
  <c r="BT390" i="2" s="1"/>
  <c r="R390" i="2"/>
  <c r="Q390" i="2"/>
  <c r="W390" i="2" s="1"/>
  <c r="BR390" i="2" s="1"/>
  <c r="P390" i="2"/>
  <c r="O390" i="2"/>
  <c r="BN390" i="2" s="1"/>
  <c r="BP390" i="2" s="1"/>
  <c r="BU390" i="2" s="1"/>
  <c r="I390" i="2"/>
  <c r="G390" i="2"/>
  <c r="J390" i="2" s="1"/>
  <c r="BR389" i="2"/>
  <c r="BO389" i="2"/>
  <c r="Z389" i="2"/>
  <c r="Y389" i="2"/>
  <c r="T389" i="2"/>
  <c r="S389" i="2"/>
  <c r="V389" i="2" s="1"/>
  <c r="BT389" i="2" s="1"/>
  <c r="R389" i="2"/>
  <c r="Q389" i="2"/>
  <c r="W389" i="2" s="1"/>
  <c r="P389" i="2"/>
  <c r="O389" i="2"/>
  <c r="X389" i="2" s="1"/>
  <c r="J389" i="2"/>
  <c r="I389" i="2"/>
  <c r="G389" i="2"/>
  <c r="BN388" i="2"/>
  <c r="Z388" i="2"/>
  <c r="T388" i="2"/>
  <c r="S388" i="2"/>
  <c r="V388" i="2" s="1"/>
  <c r="BT388" i="2" s="1"/>
  <c r="R388" i="2"/>
  <c r="Q388" i="2"/>
  <c r="Q386" i="2" s="1"/>
  <c r="Z386" i="2" s="1"/>
  <c r="P388" i="2"/>
  <c r="Y388" i="2" s="1"/>
  <c r="O388" i="2"/>
  <c r="X388" i="2" s="1"/>
  <c r="J388" i="2"/>
  <c r="G388" i="2"/>
  <c r="I388" i="2" s="1"/>
  <c r="BT387" i="2"/>
  <c r="BO387" i="2"/>
  <c r="BN387" i="2"/>
  <c r="V387" i="2"/>
  <c r="V386" i="2" s="1"/>
  <c r="T387" i="2"/>
  <c r="S387" i="2"/>
  <c r="R387" i="2"/>
  <c r="Q387" i="2"/>
  <c r="Z387" i="2" s="1"/>
  <c r="P387" i="2"/>
  <c r="O387" i="2"/>
  <c r="G387" i="2"/>
  <c r="J387" i="2" s="1"/>
  <c r="BM386" i="2"/>
  <c r="BL386" i="2"/>
  <c r="BK386" i="2"/>
  <c r="BJ386" i="2"/>
  <c r="BJ385" i="2" s="1"/>
  <c r="BI386" i="2"/>
  <c r="BH386" i="2"/>
  <c r="BG386" i="2"/>
  <c r="BF386" i="2"/>
  <c r="BE386" i="2"/>
  <c r="BD386" i="2"/>
  <c r="BD385" i="2" s="1"/>
  <c r="BC386" i="2"/>
  <c r="BC385" i="2" s="1"/>
  <c r="BB386" i="2"/>
  <c r="BA386" i="2"/>
  <c r="AZ386" i="2"/>
  <c r="AY386" i="2"/>
  <c r="AX386" i="2"/>
  <c r="AX385" i="2" s="1"/>
  <c r="AW386" i="2"/>
  <c r="AV386" i="2"/>
  <c r="AU386" i="2"/>
  <c r="AT386" i="2"/>
  <c r="AS386" i="2"/>
  <c r="AR386" i="2"/>
  <c r="AR385" i="2" s="1"/>
  <c r="AQ386" i="2"/>
  <c r="AP386" i="2"/>
  <c r="AO386" i="2"/>
  <c r="AN386" i="2"/>
  <c r="AM386" i="2"/>
  <c r="AL386" i="2"/>
  <c r="AL385" i="2" s="1"/>
  <c r="AK386" i="2"/>
  <c r="AK385" i="2" s="1"/>
  <c r="AJ386" i="2"/>
  <c r="AI386" i="2"/>
  <c r="AH386" i="2"/>
  <c r="AG386" i="2"/>
  <c r="AF386" i="2"/>
  <c r="AF385" i="2" s="1"/>
  <c r="AE386" i="2"/>
  <c r="AD386" i="2"/>
  <c r="AC386" i="2"/>
  <c r="AB386" i="2"/>
  <c r="AA386" i="2"/>
  <c r="T386" i="2"/>
  <c r="N386" i="2"/>
  <c r="N385" i="2" s="1"/>
  <c r="M386" i="2"/>
  <c r="M385" i="2" s="1"/>
  <c r="L386" i="2"/>
  <c r="K386" i="2"/>
  <c r="H386" i="2"/>
  <c r="F386" i="2"/>
  <c r="E386" i="2"/>
  <c r="BH385" i="2"/>
  <c r="BH384" i="2" s="1"/>
  <c r="AP385" i="2"/>
  <c r="AP384" i="2" s="1"/>
  <c r="F385" i="2"/>
  <c r="F384" i="2" s="1"/>
  <c r="BO383" i="2"/>
  <c r="Z383" i="2"/>
  <c r="Y383" i="2"/>
  <c r="T383" i="2"/>
  <c r="S383" i="2"/>
  <c r="V383" i="2" s="1"/>
  <c r="BT383" i="2" s="1"/>
  <c r="R383" i="2"/>
  <c r="Q383" i="2"/>
  <c r="W383" i="2" s="1"/>
  <c r="BR383" i="2" s="1"/>
  <c r="P383" i="2"/>
  <c r="O383" i="2"/>
  <c r="X383" i="2" s="1"/>
  <c r="J383" i="2"/>
  <c r="I383" i="2"/>
  <c r="G383" i="2"/>
  <c r="BN382" i="2"/>
  <c r="AK382" i="2"/>
  <c r="S382" i="2" s="1"/>
  <c r="V382" i="2" s="1"/>
  <c r="U382" i="2"/>
  <c r="T382" i="2"/>
  <c r="R382" i="2"/>
  <c r="R381" i="2" s="1"/>
  <c r="Q382" i="2"/>
  <c r="Z382" i="2" s="1"/>
  <c r="P382" i="2"/>
  <c r="O382" i="2"/>
  <c r="G382" i="2"/>
  <c r="J382" i="2" s="1"/>
  <c r="BM381" i="2"/>
  <c r="BL381" i="2"/>
  <c r="BK381" i="2"/>
  <c r="BJ381" i="2"/>
  <c r="BI381" i="2"/>
  <c r="BH381" i="2"/>
  <c r="BG381" i="2"/>
  <c r="BF381" i="2"/>
  <c r="BE381" i="2"/>
  <c r="BD381" i="2"/>
  <c r="BC381" i="2"/>
  <c r="BB381" i="2"/>
  <c r="BA381" i="2"/>
  <c r="AZ381" i="2"/>
  <c r="AY381" i="2"/>
  <c r="AX381" i="2"/>
  <c r="AW381" i="2"/>
  <c r="AV381" i="2"/>
  <c r="AU381" i="2"/>
  <c r="AT381" i="2"/>
  <c r="AS381" i="2"/>
  <c r="AR381" i="2"/>
  <c r="AQ381" i="2"/>
  <c r="AP381" i="2"/>
  <c r="AO381" i="2"/>
  <c r="AN381" i="2"/>
  <c r="AM381" i="2"/>
  <c r="AL381" i="2"/>
  <c r="AJ381" i="2"/>
  <c r="AI381" i="2"/>
  <c r="AH381" i="2"/>
  <c r="AG381" i="2"/>
  <c r="AF381" i="2"/>
  <c r="AE381" i="2"/>
  <c r="AD381" i="2"/>
  <c r="AC381" i="2"/>
  <c r="AB381" i="2"/>
  <c r="AA381" i="2"/>
  <c r="Z381" i="2"/>
  <c r="T381" i="2"/>
  <c r="Q381" i="2"/>
  <c r="N381" i="2"/>
  <c r="M381" i="2"/>
  <c r="L381" i="2"/>
  <c r="K381" i="2"/>
  <c r="H381" i="2"/>
  <c r="G381" i="2"/>
  <c r="F381" i="2"/>
  <c r="E381" i="2"/>
  <c r="BT380" i="2"/>
  <c r="BT379" i="2" s="1"/>
  <c r="BO380" i="2"/>
  <c r="BN380" i="2"/>
  <c r="V380" i="2"/>
  <c r="V379" i="2" s="1"/>
  <c r="T380" i="2"/>
  <c r="S380" i="2"/>
  <c r="R380" i="2"/>
  <c r="R379" i="2" s="1"/>
  <c r="R378" i="2" s="1"/>
  <c r="Q380" i="2"/>
  <c r="Z380" i="2" s="1"/>
  <c r="P380" i="2"/>
  <c r="O380" i="2"/>
  <c r="G380" i="2"/>
  <c r="J380" i="2" s="1"/>
  <c r="BO379" i="2"/>
  <c r="BM379" i="2"/>
  <c r="BM378" i="2" s="1"/>
  <c r="BL379" i="2"/>
  <c r="BL378" i="2" s="1"/>
  <c r="BK379" i="2"/>
  <c r="BJ379" i="2"/>
  <c r="BJ378" i="2" s="1"/>
  <c r="BI379" i="2"/>
  <c r="BI378" i="2" s="1"/>
  <c r="BH379" i="2"/>
  <c r="BG379" i="2"/>
  <c r="BG378" i="2" s="1"/>
  <c r="BF379" i="2"/>
  <c r="BF378" i="2" s="1"/>
  <c r="BE379" i="2"/>
  <c r="BD379" i="2"/>
  <c r="BD378" i="2" s="1"/>
  <c r="BC379" i="2"/>
  <c r="BC378" i="2" s="1"/>
  <c r="BB379" i="2"/>
  <c r="BA379" i="2"/>
  <c r="BA378" i="2" s="1"/>
  <c r="AZ379" i="2"/>
  <c r="AZ378" i="2" s="1"/>
  <c r="AY379" i="2"/>
  <c r="AX379" i="2"/>
  <c r="AX378" i="2" s="1"/>
  <c r="AW379" i="2"/>
  <c r="AW378" i="2" s="1"/>
  <c r="AV379" i="2"/>
  <c r="AU379" i="2"/>
  <c r="AU378" i="2" s="1"/>
  <c r="AT379" i="2"/>
  <c r="AT378" i="2" s="1"/>
  <c r="AS379" i="2"/>
  <c r="AR379" i="2"/>
  <c r="AR378" i="2" s="1"/>
  <c r="AQ379" i="2"/>
  <c r="AQ378" i="2" s="1"/>
  <c r="AP379" i="2"/>
  <c r="AO379" i="2"/>
  <c r="AO378" i="2" s="1"/>
  <c r="AN379" i="2"/>
  <c r="AN378" i="2" s="1"/>
  <c r="AM379" i="2"/>
  <c r="AL379" i="2"/>
  <c r="AL378" i="2" s="1"/>
  <c r="AK379" i="2"/>
  <c r="AJ379" i="2"/>
  <c r="AI379" i="2"/>
  <c r="AI378" i="2" s="1"/>
  <c r="AH379" i="2"/>
  <c r="AH378" i="2" s="1"/>
  <c r="AG379" i="2"/>
  <c r="AF379" i="2"/>
  <c r="AF378" i="2" s="1"/>
  <c r="AE379" i="2"/>
  <c r="AE378" i="2" s="1"/>
  <c r="AD379" i="2"/>
  <c r="AC379" i="2"/>
  <c r="AC378" i="2" s="1"/>
  <c r="AB379" i="2"/>
  <c r="AB378" i="2" s="1"/>
  <c r="AA379" i="2"/>
  <c r="Z379" i="2"/>
  <c r="T379" i="2"/>
  <c r="S379" i="2"/>
  <c r="Q379" i="2"/>
  <c r="Q378" i="2" s="1"/>
  <c r="Z378" i="2" s="1"/>
  <c r="N379" i="2"/>
  <c r="N378" i="2" s="1"/>
  <c r="M379" i="2"/>
  <c r="L379" i="2"/>
  <c r="K379" i="2"/>
  <c r="K378" i="2" s="1"/>
  <c r="H379" i="2"/>
  <c r="G379" i="2"/>
  <c r="G378" i="2" s="1"/>
  <c r="F379" i="2"/>
  <c r="E379" i="2"/>
  <c r="E378" i="2" s="1"/>
  <c r="BK378" i="2"/>
  <c r="BH378" i="2"/>
  <c r="BE378" i="2"/>
  <c r="BB378" i="2"/>
  <c r="AY378" i="2"/>
  <c r="AV378" i="2"/>
  <c r="AS378" i="2"/>
  <c r="AP378" i="2"/>
  <c r="AM378" i="2"/>
  <c r="AJ378" i="2"/>
  <c r="AG378" i="2"/>
  <c r="AD378" i="2"/>
  <c r="AA378" i="2"/>
  <c r="M378" i="2"/>
  <c r="L378" i="2"/>
  <c r="F378" i="2"/>
  <c r="F359" i="2" s="1"/>
  <c r="BT377" i="2"/>
  <c r="BN377" i="2"/>
  <c r="Z377" i="2"/>
  <c r="V377" i="2"/>
  <c r="T377" i="2"/>
  <c r="T374" i="2" s="1"/>
  <c r="S377" i="2"/>
  <c r="R377" i="2"/>
  <c r="Q377" i="2"/>
  <c r="W377" i="2" s="1"/>
  <c r="BR377" i="2" s="1"/>
  <c r="P377" i="2"/>
  <c r="Y377" i="2" s="1"/>
  <c r="O377" i="2"/>
  <c r="X377" i="2" s="1"/>
  <c r="J377" i="2"/>
  <c r="G377" i="2"/>
  <c r="I377" i="2" s="1"/>
  <c r="BU376" i="2"/>
  <c r="BT376" i="2"/>
  <c r="BO376" i="2"/>
  <c r="BN376" i="2"/>
  <c r="BP376" i="2" s="1"/>
  <c r="V376" i="2"/>
  <c r="T376" i="2"/>
  <c r="S376" i="2"/>
  <c r="R376" i="2"/>
  <c r="R374" i="2" s="1"/>
  <c r="Q376" i="2"/>
  <c r="Z376" i="2" s="1"/>
  <c r="P376" i="2"/>
  <c r="Y376" i="2" s="1"/>
  <c r="O376" i="2"/>
  <c r="X376" i="2" s="1"/>
  <c r="G376" i="2"/>
  <c r="J376" i="2" s="1"/>
  <c r="BO375" i="2"/>
  <c r="X375" i="2"/>
  <c r="W375" i="2"/>
  <c r="V375" i="2"/>
  <c r="T375" i="2"/>
  <c r="S375" i="2"/>
  <c r="S374" i="2" s="1"/>
  <c r="R375" i="2"/>
  <c r="Q375" i="2"/>
  <c r="P375" i="2"/>
  <c r="O375" i="2"/>
  <c r="BN375" i="2" s="1"/>
  <c r="BN374" i="2" s="1"/>
  <c r="J375" i="2"/>
  <c r="I375" i="2"/>
  <c r="G375" i="2"/>
  <c r="G374" i="2" s="1"/>
  <c r="J374" i="2" s="1"/>
  <c r="BM374" i="2"/>
  <c r="BL374" i="2"/>
  <c r="BK374" i="2"/>
  <c r="BJ374" i="2"/>
  <c r="BJ359" i="2" s="1"/>
  <c r="BI374" i="2"/>
  <c r="BH374" i="2"/>
  <c r="BG374" i="2"/>
  <c r="BF374" i="2"/>
  <c r="BE374" i="2"/>
  <c r="BD374" i="2"/>
  <c r="BD359" i="2" s="1"/>
  <c r="BC374" i="2"/>
  <c r="BB374" i="2"/>
  <c r="BA374" i="2"/>
  <c r="AZ374" i="2"/>
  <c r="AY374" i="2"/>
  <c r="AX374" i="2"/>
  <c r="AX359" i="2" s="1"/>
  <c r="AW374" i="2"/>
  <c r="AV374" i="2"/>
  <c r="AU374" i="2"/>
  <c r="AT374" i="2"/>
  <c r="AS374" i="2"/>
  <c r="AR374" i="2"/>
  <c r="AR359" i="2" s="1"/>
  <c r="AQ374" i="2"/>
  <c r="AP374" i="2"/>
  <c r="AO374" i="2"/>
  <c r="AN374" i="2"/>
  <c r="AM374" i="2"/>
  <c r="AL374" i="2"/>
  <c r="AL359" i="2" s="1"/>
  <c r="AK374" i="2"/>
  <c r="AJ374" i="2"/>
  <c r="AI374" i="2"/>
  <c r="AH374" i="2"/>
  <c r="AG374" i="2"/>
  <c r="AF374" i="2"/>
  <c r="AF359" i="2" s="1"/>
  <c r="AE374" i="2"/>
  <c r="AD374" i="2"/>
  <c r="AC374" i="2"/>
  <c r="AB374" i="2"/>
  <c r="AA374" i="2"/>
  <c r="O374" i="2"/>
  <c r="X374" i="2" s="1"/>
  <c r="N374" i="2"/>
  <c r="M374" i="2"/>
  <c r="L374" i="2"/>
  <c r="K374" i="2"/>
  <c r="H374" i="2"/>
  <c r="F374" i="2"/>
  <c r="E374" i="2"/>
  <c r="X373" i="2"/>
  <c r="V373" i="2"/>
  <c r="BT373" i="2" s="1"/>
  <c r="T373" i="2"/>
  <c r="S373" i="2"/>
  <c r="R373" i="2"/>
  <c r="Q373" i="2"/>
  <c r="Z373" i="2" s="1"/>
  <c r="P373" i="2"/>
  <c r="Y373" i="2" s="1"/>
  <c r="O373" i="2"/>
  <c r="BN373" i="2" s="1"/>
  <c r="J373" i="2"/>
  <c r="I373" i="2"/>
  <c r="G373" i="2"/>
  <c r="Y372" i="2"/>
  <c r="X372" i="2"/>
  <c r="W372" i="2"/>
  <c r="BR372" i="2" s="1"/>
  <c r="T372" i="2"/>
  <c r="T370" i="2" s="1"/>
  <c r="S372" i="2"/>
  <c r="V372" i="2" s="1"/>
  <c r="BT372" i="2" s="1"/>
  <c r="R372" i="2"/>
  <c r="Q372" i="2"/>
  <c r="P372" i="2"/>
  <c r="O372" i="2"/>
  <c r="BN372" i="2" s="1"/>
  <c r="G372" i="2"/>
  <c r="BR371" i="2"/>
  <c r="BO371" i="2"/>
  <c r="Z371" i="2"/>
  <c r="Y371" i="2"/>
  <c r="X371" i="2"/>
  <c r="T371" i="2"/>
  <c r="S371" i="2"/>
  <c r="R371" i="2"/>
  <c r="Q371" i="2"/>
  <c r="W371" i="2" s="1"/>
  <c r="P371" i="2"/>
  <c r="O371" i="2"/>
  <c r="O370" i="2" s="1"/>
  <c r="X370" i="2" s="1"/>
  <c r="I371" i="2"/>
  <c r="G371" i="2"/>
  <c r="BM370" i="2"/>
  <c r="BL370" i="2"/>
  <c r="BK370" i="2"/>
  <c r="BJ370" i="2"/>
  <c r="BI370" i="2"/>
  <c r="BH370" i="2"/>
  <c r="BG370" i="2"/>
  <c r="BF370" i="2"/>
  <c r="BE370" i="2"/>
  <c r="BD370" i="2"/>
  <c r="BC370" i="2"/>
  <c r="BB370" i="2"/>
  <c r="BA370" i="2"/>
  <c r="AZ370" i="2"/>
  <c r="AY370" i="2"/>
  <c r="AX370" i="2"/>
  <c r="AW370" i="2"/>
  <c r="AV370" i="2"/>
  <c r="AU370" i="2"/>
  <c r="AT370" i="2"/>
  <c r="AS370" i="2"/>
  <c r="AR370" i="2"/>
  <c r="AQ370" i="2"/>
  <c r="AP370" i="2"/>
  <c r="AO370" i="2"/>
  <c r="AN370" i="2"/>
  <c r="AM370" i="2"/>
  <c r="AL370" i="2"/>
  <c r="AK370" i="2"/>
  <c r="AJ370" i="2"/>
  <c r="AI370" i="2"/>
  <c r="AH370" i="2"/>
  <c r="AG370" i="2"/>
  <c r="AF370" i="2"/>
  <c r="AE370" i="2"/>
  <c r="AD370" i="2"/>
  <c r="AC370" i="2"/>
  <c r="AB370" i="2"/>
  <c r="AA370" i="2"/>
  <c r="Q370" i="2"/>
  <c r="Z370" i="2" s="1"/>
  <c r="P370" i="2"/>
  <c r="Y370" i="2" s="1"/>
  <c r="N370" i="2"/>
  <c r="M370" i="2"/>
  <c r="L370" i="2"/>
  <c r="K370" i="2"/>
  <c r="H370" i="2"/>
  <c r="F370" i="2"/>
  <c r="E370" i="2"/>
  <c r="E359" i="2" s="1"/>
  <c r="BO369" i="2"/>
  <c r="Z369" i="2"/>
  <c r="Y369" i="2"/>
  <c r="X369" i="2"/>
  <c r="T369" i="2"/>
  <c r="S369" i="2"/>
  <c r="R369" i="2"/>
  <c r="R368" i="2" s="1"/>
  <c r="Q369" i="2"/>
  <c r="W369" i="2" s="1"/>
  <c r="W368" i="2" s="1"/>
  <c r="P369" i="2"/>
  <c r="O369" i="2"/>
  <c r="O368" i="2" s="1"/>
  <c r="X368" i="2" s="1"/>
  <c r="G369" i="2"/>
  <c r="I369" i="2" s="1"/>
  <c r="BO368" i="2"/>
  <c r="BM368" i="2"/>
  <c r="BL368" i="2"/>
  <c r="BK368" i="2"/>
  <c r="BJ368" i="2"/>
  <c r="BI368" i="2"/>
  <c r="BH368" i="2"/>
  <c r="BG368" i="2"/>
  <c r="BF368" i="2"/>
  <c r="BE368" i="2"/>
  <c r="BD368" i="2"/>
  <c r="BC368" i="2"/>
  <c r="BB368" i="2"/>
  <c r="BA368" i="2"/>
  <c r="AZ368" i="2"/>
  <c r="AY368" i="2"/>
  <c r="AX368" i="2"/>
  <c r="AW368" i="2"/>
  <c r="AV368" i="2"/>
  <c r="AU368" i="2"/>
  <c r="AT368" i="2"/>
  <c r="AS368" i="2"/>
  <c r="AR368" i="2"/>
  <c r="AQ368" i="2"/>
  <c r="AP368" i="2"/>
  <c r="AO368" i="2"/>
  <c r="AN368" i="2"/>
  <c r="AM368" i="2"/>
  <c r="AL368" i="2"/>
  <c r="AK368" i="2"/>
  <c r="AJ368" i="2"/>
  <c r="AI368" i="2"/>
  <c r="AH368" i="2"/>
  <c r="AG368" i="2"/>
  <c r="AF368" i="2"/>
  <c r="AE368" i="2"/>
  <c r="AD368" i="2"/>
  <c r="AC368" i="2"/>
  <c r="AB368" i="2"/>
  <c r="AA368" i="2"/>
  <c r="T368" i="2"/>
  <c r="Q368" i="2"/>
  <c r="Z368" i="2" s="1"/>
  <c r="P368" i="2"/>
  <c r="Y368" i="2" s="1"/>
  <c r="N368" i="2"/>
  <c r="M368" i="2"/>
  <c r="L368" i="2"/>
  <c r="K368" i="2"/>
  <c r="K359" i="2" s="1"/>
  <c r="H368" i="2"/>
  <c r="F368" i="2"/>
  <c r="E368" i="2"/>
  <c r="BR367" i="2"/>
  <c r="BR366" i="2" s="1"/>
  <c r="BO367" i="2"/>
  <c r="Z367" i="2"/>
  <c r="Y367" i="2"/>
  <c r="X367" i="2"/>
  <c r="T367" i="2"/>
  <c r="S367" i="2"/>
  <c r="R367" i="2"/>
  <c r="R366" i="2" s="1"/>
  <c r="Q367" i="2"/>
  <c r="W367" i="2" s="1"/>
  <c r="W366" i="2" s="1"/>
  <c r="P367" i="2"/>
  <c r="O367" i="2"/>
  <c r="O366" i="2" s="1"/>
  <c r="X366" i="2" s="1"/>
  <c r="I367" i="2"/>
  <c r="G367" i="2"/>
  <c r="BO366" i="2"/>
  <c r="BM366" i="2"/>
  <c r="BL366" i="2"/>
  <c r="BK366" i="2"/>
  <c r="BJ366" i="2"/>
  <c r="BI366" i="2"/>
  <c r="BH366" i="2"/>
  <c r="BG366" i="2"/>
  <c r="BF366" i="2"/>
  <c r="BE366" i="2"/>
  <c r="BD366" i="2"/>
  <c r="BC366" i="2"/>
  <c r="BB366" i="2"/>
  <c r="BA366" i="2"/>
  <c r="AZ366" i="2"/>
  <c r="AY366" i="2"/>
  <c r="AX366" i="2"/>
  <c r="AW366" i="2"/>
  <c r="AV366" i="2"/>
  <c r="AU366" i="2"/>
  <c r="AT366" i="2"/>
  <c r="AS366" i="2"/>
  <c r="AR366" i="2"/>
  <c r="AQ366" i="2"/>
  <c r="AP366" i="2"/>
  <c r="AO366" i="2"/>
  <c r="AN366" i="2"/>
  <c r="AM366" i="2"/>
  <c r="AL366" i="2"/>
  <c r="AK366" i="2"/>
  <c r="AJ366" i="2"/>
  <c r="AI366" i="2"/>
  <c r="AH366" i="2"/>
  <c r="AG366" i="2"/>
  <c r="AF366" i="2"/>
  <c r="AE366" i="2"/>
  <c r="AD366" i="2"/>
  <c r="AC366" i="2"/>
  <c r="AB366" i="2"/>
  <c r="AA366" i="2"/>
  <c r="T366" i="2"/>
  <c r="Q366" i="2"/>
  <c r="Z366" i="2" s="1"/>
  <c r="P366" i="2"/>
  <c r="Y366" i="2" s="1"/>
  <c r="N366" i="2"/>
  <c r="M366" i="2"/>
  <c r="L366" i="2"/>
  <c r="K366" i="2"/>
  <c r="H366" i="2"/>
  <c r="F366" i="2"/>
  <c r="E366" i="2"/>
  <c r="BO365" i="2"/>
  <c r="Y365" i="2"/>
  <c r="X365" i="2"/>
  <c r="T365" i="2"/>
  <c r="S365" i="2"/>
  <c r="R365" i="2"/>
  <c r="R364" i="2" s="1"/>
  <c r="Q365" i="2"/>
  <c r="W365" i="2" s="1"/>
  <c r="BR365" i="2" s="1"/>
  <c r="BR364" i="2" s="1"/>
  <c r="P365" i="2"/>
  <c r="O365" i="2"/>
  <c r="O364" i="2" s="1"/>
  <c r="X364" i="2" s="1"/>
  <c r="I365" i="2"/>
  <c r="G365" i="2"/>
  <c r="BO364" i="2"/>
  <c r="BM364" i="2"/>
  <c r="BL364" i="2"/>
  <c r="BK364" i="2"/>
  <c r="BJ364" i="2"/>
  <c r="BI364" i="2"/>
  <c r="BH364" i="2"/>
  <c r="BG364" i="2"/>
  <c r="BF364" i="2"/>
  <c r="BE364" i="2"/>
  <c r="BD364" i="2"/>
  <c r="BC364" i="2"/>
  <c r="BB364" i="2"/>
  <c r="BA364" i="2"/>
  <c r="BA359" i="2" s="1"/>
  <c r="AZ364" i="2"/>
  <c r="AY364" i="2"/>
  <c r="AX364" i="2"/>
  <c r="AW364" i="2"/>
  <c r="AV364" i="2"/>
  <c r="AU364" i="2"/>
  <c r="AT364" i="2"/>
  <c r="AS364" i="2"/>
  <c r="AR364" i="2"/>
  <c r="AQ364" i="2"/>
  <c r="AP364" i="2"/>
  <c r="AO364" i="2"/>
  <c r="AN364" i="2"/>
  <c r="AM364" i="2"/>
  <c r="AL364" i="2"/>
  <c r="AK364" i="2"/>
  <c r="AJ364" i="2"/>
  <c r="AI364" i="2"/>
  <c r="AI359" i="2" s="1"/>
  <c r="AH364" i="2"/>
  <c r="AG364" i="2"/>
  <c r="AF364" i="2"/>
  <c r="AE364" i="2"/>
  <c r="AD364" i="2"/>
  <c r="AC364" i="2"/>
  <c r="AB364" i="2"/>
  <c r="AA364" i="2"/>
  <c r="T364" i="2"/>
  <c r="Q364" i="2"/>
  <c r="Z364" i="2" s="1"/>
  <c r="P364" i="2"/>
  <c r="Y364" i="2" s="1"/>
  <c r="N364" i="2"/>
  <c r="M364" i="2"/>
  <c r="L364" i="2"/>
  <c r="K364" i="2"/>
  <c r="H364" i="2"/>
  <c r="F364" i="2"/>
  <c r="E364" i="2"/>
  <c r="BO363" i="2"/>
  <c r="Y363" i="2"/>
  <c r="X363" i="2"/>
  <c r="T363" i="2"/>
  <c r="S363" i="2"/>
  <c r="V363" i="2" s="1"/>
  <c r="BT363" i="2" s="1"/>
  <c r="R363" i="2"/>
  <c r="Q363" i="2"/>
  <c r="W363" i="2" s="1"/>
  <c r="BR363" i="2" s="1"/>
  <c r="P363" i="2"/>
  <c r="O363" i="2"/>
  <c r="BN363" i="2" s="1"/>
  <c r="BP363" i="2" s="1"/>
  <c r="BU363" i="2" s="1"/>
  <c r="I363" i="2"/>
  <c r="G363" i="2"/>
  <c r="J363" i="2" s="1"/>
  <c r="BR362" i="2"/>
  <c r="BO362" i="2"/>
  <c r="Z362" i="2"/>
  <c r="Y362" i="2"/>
  <c r="T362" i="2"/>
  <c r="S362" i="2"/>
  <c r="V362" i="2" s="1"/>
  <c r="BT362" i="2" s="1"/>
  <c r="R362" i="2"/>
  <c r="Q362" i="2"/>
  <c r="W362" i="2" s="1"/>
  <c r="P362" i="2"/>
  <c r="P360" i="2" s="1"/>
  <c r="O362" i="2"/>
  <c r="X362" i="2" s="1"/>
  <c r="J362" i="2"/>
  <c r="I362" i="2"/>
  <c r="G362" i="2"/>
  <c r="BN361" i="2"/>
  <c r="Z361" i="2"/>
  <c r="T361" i="2"/>
  <c r="T360" i="2" s="1"/>
  <c r="S361" i="2"/>
  <c r="V361" i="2" s="1"/>
  <c r="R361" i="2"/>
  <c r="Q361" i="2"/>
  <c r="Q360" i="2" s="1"/>
  <c r="Z360" i="2" s="1"/>
  <c r="P361" i="2"/>
  <c r="Y361" i="2" s="1"/>
  <c r="O361" i="2"/>
  <c r="J361" i="2"/>
  <c r="G361" i="2"/>
  <c r="I361" i="2" s="1"/>
  <c r="BM360" i="2"/>
  <c r="BL360" i="2"/>
  <c r="BK360" i="2"/>
  <c r="BK359" i="2" s="1"/>
  <c r="BJ360" i="2"/>
  <c r="BI360" i="2"/>
  <c r="BH360" i="2"/>
  <c r="BH359" i="2" s="1"/>
  <c r="BG360" i="2"/>
  <c r="BF360" i="2"/>
  <c r="BE360" i="2"/>
  <c r="BE359" i="2" s="1"/>
  <c r="BD360" i="2"/>
  <c r="BC360" i="2"/>
  <c r="BB360" i="2"/>
  <c r="BA360" i="2"/>
  <c r="AZ360" i="2"/>
  <c r="AY360" i="2"/>
  <c r="AY359" i="2" s="1"/>
  <c r="AX360" i="2"/>
  <c r="AW360" i="2"/>
  <c r="AV360" i="2"/>
  <c r="AU360" i="2"/>
  <c r="AT360" i="2"/>
  <c r="AS360" i="2"/>
  <c r="AS359" i="2" s="1"/>
  <c r="AR360" i="2"/>
  <c r="AQ360" i="2"/>
  <c r="AP360" i="2"/>
  <c r="AP359" i="2" s="1"/>
  <c r="AO360" i="2"/>
  <c r="AN360" i="2"/>
  <c r="AM360" i="2"/>
  <c r="AM359" i="2" s="1"/>
  <c r="AL360" i="2"/>
  <c r="AK360" i="2"/>
  <c r="AJ360" i="2"/>
  <c r="AI360" i="2"/>
  <c r="AH360" i="2"/>
  <c r="AG360" i="2"/>
  <c r="AG359" i="2" s="1"/>
  <c r="AF360" i="2"/>
  <c r="AE360" i="2"/>
  <c r="AD360" i="2"/>
  <c r="AC360" i="2"/>
  <c r="AB360" i="2"/>
  <c r="AA360" i="2"/>
  <c r="AA359" i="2" s="1"/>
  <c r="Y360" i="2"/>
  <c r="S360" i="2"/>
  <c r="R360" i="2"/>
  <c r="N360" i="2"/>
  <c r="M360" i="2"/>
  <c r="M359" i="2" s="1"/>
  <c r="L360" i="2"/>
  <c r="L359" i="2" s="1"/>
  <c r="K360" i="2"/>
  <c r="H360" i="2"/>
  <c r="G360" i="2"/>
  <c r="F360" i="2"/>
  <c r="E360" i="2"/>
  <c r="BM359" i="2"/>
  <c r="BG359" i="2"/>
  <c r="BB359" i="2"/>
  <c r="AV359" i="2"/>
  <c r="AU359" i="2"/>
  <c r="AO359" i="2"/>
  <c r="AJ359" i="2"/>
  <c r="AD359" i="2"/>
  <c r="AC359" i="2"/>
  <c r="BO358" i="2"/>
  <c r="BO357" i="2" s="1"/>
  <c r="Z358" i="2"/>
  <c r="Y358" i="2"/>
  <c r="T358" i="2"/>
  <c r="T357" i="2" s="1"/>
  <c r="S358" i="2"/>
  <c r="R358" i="2"/>
  <c r="Q358" i="2"/>
  <c r="W358" i="2" s="1"/>
  <c r="BR358" i="2" s="1"/>
  <c r="BR357" i="2" s="1"/>
  <c r="P358" i="2"/>
  <c r="P357" i="2" s="1"/>
  <c r="Y357" i="2" s="1"/>
  <c r="O358" i="2"/>
  <c r="X358" i="2" s="1"/>
  <c r="J358" i="2"/>
  <c r="I358" i="2"/>
  <c r="G358" i="2"/>
  <c r="BM357" i="2"/>
  <c r="BL357" i="2"/>
  <c r="BK357" i="2"/>
  <c r="BJ357" i="2"/>
  <c r="BI357" i="2"/>
  <c r="BH357" i="2"/>
  <c r="BG357" i="2"/>
  <c r="BF357" i="2"/>
  <c r="BE357" i="2"/>
  <c r="BD357" i="2"/>
  <c r="BC357" i="2"/>
  <c r="BB357" i="2"/>
  <c r="BA357" i="2"/>
  <c r="AZ357" i="2"/>
  <c r="AY357" i="2"/>
  <c r="AX357" i="2"/>
  <c r="AW357" i="2"/>
  <c r="AV357" i="2"/>
  <c r="AU357" i="2"/>
  <c r="AT357" i="2"/>
  <c r="AS357" i="2"/>
  <c r="AR357" i="2"/>
  <c r="AQ357" i="2"/>
  <c r="AP357" i="2"/>
  <c r="AO357" i="2"/>
  <c r="AN357" i="2"/>
  <c r="AM357" i="2"/>
  <c r="AL357" i="2"/>
  <c r="AK357" i="2"/>
  <c r="AJ357" i="2"/>
  <c r="AI357" i="2"/>
  <c r="AH357" i="2"/>
  <c r="AG357" i="2"/>
  <c r="AF357" i="2"/>
  <c r="AE357" i="2"/>
  <c r="AD357" i="2"/>
  <c r="AC357" i="2"/>
  <c r="AB357" i="2"/>
  <c r="AA357" i="2"/>
  <c r="X357" i="2"/>
  <c r="W357" i="2"/>
  <c r="R357" i="2"/>
  <c r="Q357" i="2"/>
  <c r="Z357" i="2" s="1"/>
  <c r="O357" i="2"/>
  <c r="N357" i="2"/>
  <c r="M357" i="2"/>
  <c r="L357" i="2"/>
  <c r="K357" i="2"/>
  <c r="I357" i="2" s="1"/>
  <c r="H357" i="2"/>
  <c r="G357" i="2"/>
  <c r="J357" i="2" s="1"/>
  <c r="F357" i="2"/>
  <c r="E357" i="2"/>
  <c r="BR356" i="2"/>
  <c r="BR355" i="2" s="1"/>
  <c r="BO356" i="2"/>
  <c r="BO355" i="2" s="1"/>
  <c r="Z356" i="2"/>
  <c r="T356" i="2"/>
  <c r="T355" i="2" s="1"/>
  <c r="S356" i="2"/>
  <c r="S355" i="2" s="1"/>
  <c r="R356" i="2"/>
  <c r="Q356" i="2"/>
  <c r="W356" i="2" s="1"/>
  <c r="P356" i="2"/>
  <c r="P355" i="2" s="1"/>
  <c r="Y355" i="2" s="1"/>
  <c r="O356" i="2"/>
  <c r="X356" i="2" s="1"/>
  <c r="J356" i="2"/>
  <c r="I356" i="2"/>
  <c r="G356" i="2"/>
  <c r="BM355" i="2"/>
  <c r="BL355" i="2"/>
  <c r="BK355" i="2"/>
  <c r="BJ355" i="2"/>
  <c r="BI355" i="2"/>
  <c r="BH355" i="2"/>
  <c r="BG355" i="2"/>
  <c r="BF355" i="2"/>
  <c r="BE355" i="2"/>
  <c r="BD355" i="2"/>
  <c r="BC355" i="2"/>
  <c r="BB355" i="2"/>
  <c r="BA355" i="2"/>
  <c r="AZ355" i="2"/>
  <c r="AY355" i="2"/>
  <c r="AX355" i="2"/>
  <c r="AW355" i="2"/>
  <c r="AV355" i="2"/>
  <c r="AU355" i="2"/>
  <c r="AT355" i="2"/>
  <c r="AS355" i="2"/>
  <c r="AR355" i="2"/>
  <c r="AQ355" i="2"/>
  <c r="AP355" i="2"/>
  <c r="AO355" i="2"/>
  <c r="AN355" i="2"/>
  <c r="AM355" i="2"/>
  <c r="AL355" i="2"/>
  <c r="AK355" i="2"/>
  <c r="AJ355" i="2"/>
  <c r="AI355" i="2"/>
  <c r="AH355" i="2"/>
  <c r="AG355" i="2"/>
  <c r="AF355" i="2"/>
  <c r="AE355" i="2"/>
  <c r="AD355" i="2"/>
  <c r="AC355" i="2"/>
  <c r="AB355" i="2"/>
  <c r="AA355" i="2"/>
  <c r="X355" i="2"/>
  <c r="W355" i="2"/>
  <c r="R355" i="2"/>
  <c r="Q355" i="2"/>
  <c r="Z355" i="2" s="1"/>
  <c r="O355" i="2"/>
  <c r="N355" i="2"/>
  <c r="M355" i="2"/>
  <c r="L355" i="2"/>
  <c r="K355" i="2"/>
  <c r="I355" i="2" s="1"/>
  <c r="H355" i="2"/>
  <c r="G355" i="2"/>
  <c r="J355" i="2" s="1"/>
  <c r="F355" i="2"/>
  <c r="E355" i="2"/>
  <c r="BR354" i="2"/>
  <c r="BR353" i="2" s="1"/>
  <c r="BO354" i="2"/>
  <c r="BO353" i="2" s="1"/>
  <c r="Z354" i="2"/>
  <c r="T354" i="2"/>
  <c r="T353" i="2" s="1"/>
  <c r="S354" i="2"/>
  <c r="S353" i="2" s="1"/>
  <c r="R354" i="2"/>
  <c r="Q354" i="2"/>
  <c r="W354" i="2" s="1"/>
  <c r="P354" i="2"/>
  <c r="P353" i="2" s="1"/>
  <c r="Y353" i="2" s="1"/>
  <c r="O354" i="2"/>
  <c r="X354" i="2" s="1"/>
  <c r="J354" i="2"/>
  <c r="I354" i="2"/>
  <c r="G354" i="2"/>
  <c r="BM353" i="2"/>
  <c r="BL353" i="2"/>
  <c r="BK353" i="2"/>
  <c r="BJ353" i="2"/>
  <c r="BI353" i="2"/>
  <c r="BH353" i="2"/>
  <c r="BG353" i="2"/>
  <c r="BF353" i="2"/>
  <c r="BE353" i="2"/>
  <c r="BD353" i="2"/>
  <c r="BC353" i="2"/>
  <c r="BB353" i="2"/>
  <c r="BA353" i="2"/>
  <c r="AZ353" i="2"/>
  <c r="AY353" i="2"/>
  <c r="AX353" i="2"/>
  <c r="AW353" i="2"/>
  <c r="AV353" i="2"/>
  <c r="AU353" i="2"/>
  <c r="AT353" i="2"/>
  <c r="AS353" i="2"/>
  <c r="AR353" i="2"/>
  <c r="AQ353" i="2"/>
  <c r="AP353" i="2"/>
  <c r="AO353" i="2"/>
  <c r="AN353" i="2"/>
  <c r="AM353" i="2"/>
  <c r="AL353" i="2"/>
  <c r="AK353" i="2"/>
  <c r="AJ353" i="2"/>
  <c r="AI353" i="2"/>
  <c r="AH353" i="2"/>
  <c r="AG353" i="2"/>
  <c r="AF353" i="2"/>
  <c r="AE353" i="2"/>
  <c r="AD353" i="2"/>
  <c r="AC353" i="2"/>
  <c r="AB353" i="2"/>
  <c r="AA353" i="2"/>
  <c r="X353" i="2"/>
  <c r="W353" i="2"/>
  <c r="R353" i="2"/>
  <c r="Q353" i="2"/>
  <c r="Z353" i="2" s="1"/>
  <c r="O353" i="2"/>
  <c r="N353" i="2"/>
  <c r="M353" i="2"/>
  <c r="L353" i="2"/>
  <c r="K353" i="2"/>
  <c r="I353" i="2" s="1"/>
  <c r="H353" i="2"/>
  <c r="H349" i="2" s="1"/>
  <c r="G353" i="2"/>
  <c r="J353" i="2" s="1"/>
  <c r="F353" i="2"/>
  <c r="E353" i="2"/>
  <c r="BR352" i="2"/>
  <c r="BO352" i="2"/>
  <c r="Z352" i="2"/>
  <c r="T352" i="2"/>
  <c r="T350" i="2" s="1"/>
  <c r="T349" i="2" s="1"/>
  <c r="S352" i="2"/>
  <c r="V352" i="2" s="1"/>
  <c r="BT352" i="2" s="1"/>
  <c r="R352" i="2"/>
  <c r="Q352" i="2"/>
  <c r="W352" i="2" s="1"/>
  <c r="P352" i="2"/>
  <c r="Y352" i="2" s="1"/>
  <c r="O352" i="2"/>
  <c r="K352" i="2"/>
  <c r="U352" i="2" s="1"/>
  <c r="BQ352" i="2" s="1"/>
  <c r="BS352" i="2" s="1"/>
  <c r="BV352" i="2" s="1"/>
  <c r="J352" i="2"/>
  <c r="G352" i="2"/>
  <c r="BO351" i="2"/>
  <c r="BO350" i="2" s="1"/>
  <c r="BO349" i="2" s="1"/>
  <c r="BN351" i="2"/>
  <c r="X351" i="2"/>
  <c r="V351" i="2"/>
  <c r="BT351" i="2" s="1"/>
  <c r="BT350" i="2" s="1"/>
  <c r="T351" i="2"/>
  <c r="S351" i="2"/>
  <c r="S350" i="2" s="1"/>
  <c r="R351" i="2"/>
  <c r="R350" i="2" s="1"/>
  <c r="Q351" i="2"/>
  <c r="Z351" i="2" s="1"/>
  <c r="P351" i="2"/>
  <c r="O351" i="2"/>
  <c r="J351" i="2" s="1"/>
  <c r="K351" i="2"/>
  <c r="I351" i="2"/>
  <c r="G351" i="2"/>
  <c r="BM350" i="2"/>
  <c r="BL350" i="2"/>
  <c r="BK350" i="2"/>
  <c r="BK349" i="2" s="1"/>
  <c r="BJ350" i="2"/>
  <c r="BI350" i="2"/>
  <c r="BH350" i="2"/>
  <c r="BH349" i="2" s="1"/>
  <c r="BG350" i="2"/>
  <c r="BF350" i="2"/>
  <c r="BE350" i="2"/>
  <c r="BE349" i="2" s="1"/>
  <c r="BD350" i="2"/>
  <c r="BC350" i="2"/>
  <c r="BB350" i="2"/>
  <c r="BB349" i="2" s="1"/>
  <c r="BA350" i="2"/>
  <c r="AZ350" i="2"/>
  <c r="AY350" i="2"/>
  <c r="AY349" i="2" s="1"/>
  <c r="AX350" i="2"/>
  <c r="AW350" i="2"/>
  <c r="AV350" i="2"/>
  <c r="AV349" i="2" s="1"/>
  <c r="AU350" i="2"/>
  <c r="AT350" i="2"/>
  <c r="AS350" i="2"/>
  <c r="AS349" i="2" s="1"/>
  <c r="AR350" i="2"/>
  <c r="AQ350" i="2"/>
  <c r="AP350" i="2"/>
  <c r="AP349" i="2" s="1"/>
  <c r="AO350" i="2"/>
  <c r="AN350" i="2"/>
  <c r="AM350" i="2"/>
  <c r="AM349" i="2" s="1"/>
  <c r="AL350" i="2"/>
  <c r="AK350" i="2"/>
  <c r="AJ350" i="2"/>
  <c r="AJ349" i="2" s="1"/>
  <c r="AI350" i="2"/>
  <c r="AH350" i="2"/>
  <c r="AG350" i="2"/>
  <c r="AG349" i="2" s="1"/>
  <c r="AF350" i="2"/>
  <c r="AE350" i="2"/>
  <c r="AD350" i="2"/>
  <c r="AD349" i="2" s="1"/>
  <c r="AC350" i="2"/>
  <c r="AB350" i="2"/>
  <c r="AA350" i="2"/>
  <c r="AA349" i="2" s="1"/>
  <c r="Q350" i="2"/>
  <c r="O350" i="2"/>
  <c r="N350" i="2"/>
  <c r="M350" i="2"/>
  <c r="L350" i="2"/>
  <c r="L349" i="2" s="1"/>
  <c r="H350" i="2"/>
  <c r="F350" i="2"/>
  <c r="E350" i="2"/>
  <c r="BL349" i="2"/>
  <c r="BJ349" i="2"/>
  <c r="BI349" i="2"/>
  <c r="BF349" i="2"/>
  <c r="BD349" i="2"/>
  <c r="BC349" i="2"/>
  <c r="AZ349" i="2"/>
  <c r="AX349" i="2"/>
  <c r="AW349" i="2"/>
  <c r="AT349" i="2"/>
  <c r="AR349" i="2"/>
  <c r="AQ349" i="2"/>
  <c r="AN349" i="2"/>
  <c r="AL349" i="2"/>
  <c r="AK349" i="2"/>
  <c r="AH349" i="2"/>
  <c r="AF349" i="2"/>
  <c r="AE349" i="2"/>
  <c r="AB349" i="2"/>
  <c r="N349" i="2"/>
  <c r="M349" i="2"/>
  <c r="BO348" i="2"/>
  <c r="BO347" i="2" s="1"/>
  <c r="X348" i="2"/>
  <c r="V348" i="2"/>
  <c r="BT348" i="2" s="1"/>
  <c r="BT347" i="2" s="1"/>
  <c r="T348" i="2"/>
  <c r="S348" i="2"/>
  <c r="R348" i="2"/>
  <c r="R347" i="2" s="1"/>
  <c r="Q348" i="2"/>
  <c r="Z348" i="2" s="1"/>
  <c r="P348" i="2"/>
  <c r="Y348" i="2" s="1"/>
  <c r="O348" i="2"/>
  <c r="O347" i="2" s="1"/>
  <c r="X347" i="2" s="1"/>
  <c r="G348" i="2"/>
  <c r="BM347" i="2"/>
  <c r="BL347" i="2"/>
  <c r="BK347" i="2"/>
  <c r="BJ347" i="2"/>
  <c r="BI347" i="2"/>
  <c r="BH347" i="2"/>
  <c r="BG347" i="2"/>
  <c r="BF347" i="2"/>
  <c r="BE347" i="2"/>
  <c r="BD347" i="2"/>
  <c r="BC347" i="2"/>
  <c r="BB347" i="2"/>
  <c r="BA347" i="2"/>
  <c r="AZ347" i="2"/>
  <c r="AY347" i="2"/>
  <c r="AX347" i="2"/>
  <c r="AW347" i="2"/>
  <c r="AV347" i="2"/>
  <c r="AU347" i="2"/>
  <c r="AT347" i="2"/>
  <c r="AS347" i="2"/>
  <c r="AR347" i="2"/>
  <c r="AQ347" i="2"/>
  <c r="AP347" i="2"/>
  <c r="AO347" i="2"/>
  <c r="AN347" i="2"/>
  <c r="AM347" i="2"/>
  <c r="AL347" i="2"/>
  <c r="AK347" i="2"/>
  <c r="AJ347" i="2"/>
  <c r="AI347" i="2"/>
  <c r="AH347" i="2"/>
  <c r="AG347" i="2"/>
  <c r="AF347" i="2"/>
  <c r="AE347" i="2"/>
  <c r="AD347" i="2"/>
  <c r="AC347" i="2"/>
  <c r="AB347" i="2"/>
  <c r="AA347" i="2"/>
  <c r="Z347" i="2"/>
  <c r="T347" i="2"/>
  <c r="S347" i="2"/>
  <c r="Q347" i="2"/>
  <c r="N347" i="2"/>
  <c r="N339" i="2" s="1"/>
  <c r="M347" i="2"/>
  <c r="L347" i="2"/>
  <c r="K347" i="2"/>
  <c r="H347" i="2"/>
  <c r="G347" i="2"/>
  <c r="I347" i="2" s="1"/>
  <c r="F347" i="2"/>
  <c r="E347" i="2"/>
  <c r="BT346" i="2"/>
  <c r="BT345" i="2" s="1"/>
  <c r="BO346" i="2"/>
  <c r="X346" i="2"/>
  <c r="V346" i="2"/>
  <c r="T346" i="2"/>
  <c r="S346" i="2"/>
  <c r="R346" i="2"/>
  <c r="R345" i="2" s="1"/>
  <c r="Q346" i="2"/>
  <c r="Z346" i="2" s="1"/>
  <c r="P346" i="2"/>
  <c r="Y346" i="2" s="1"/>
  <c r="O346" i="2"/>
  <c r="O345" i="2" s="1"/>
  <c r="X345" i="2" s="1"/>
  <c r="G346" i="2"/>
  <c r="BO345" i="2"/>
  <c r="BM345" i="2"/>
  <c r="BL345" i="2"/>
  <c r="BK345" i="2"/>
  <c r="BJ345" i="2"/>
  <c r="BI345" i="2"/>
  <c r="BH345" i="2"/>
  <c r="BG345" i="2"/>
  <c r="BF345" i="2"/>
  <c r="BE345" i="2"/>
  <c r="BD345" i="2"/>
  <c r="BC345" i="2"/>
  <c r="BB345" i="2"/>
  <c r="BA345" i="2"/>
  <c r="AZ345" i="2"/>
  <c r="AY345" i="2"/>
  <c r="AX345" i="2"/>
  <c r="AX339" i="2" s="1"/>
  <c r="AW345" i="2"/>
  <c r="AV345" i="2"/>
  <c r="AU345" i="2"/>
  <c r="AT345" i="2"/>
  <c r="AS345" i="2"/>
  <c r="AR345" i="2"/>
  <c r="AQ345" i="2"/>
  <c r="AP345" i="2"/>
  <c r="AO345" i="2"/>
  <c r="AN345" i="2"/>
  <c r="AM345" i="2"/>
  <c r="AL345" i="2"/>
  <c r="AK345" i="2"/>
  <c r="AJ345" i="2"/>
  <c r="AI345" i="2"/>
  <c r="AH345" i="2"/>
  <c r="AG345" i="2"/>
  <c r="AF345" i="2"/>
  <c r="AF339" i="2" s="1"/>
  <c r="AE345" i="2"/>
  <c r="AD345" i="2"/>
  <c r="AC345" i="2"/>
  <c r="AB345" i="2"/>
  <c r="AA345" i="2"/>
  <c r="Z345" i="2"/>
  <c r="V345" i="2"/>
  <c r="T345" i="2"/>
  <c r="T339" i="2" s="1"/>
  <c r="S345" i="2"/>
  <c r="Q345" i="2"/>
  <c r="P345" i="2"/>
  <c r="Y345" i="2" s="1"/>
  <c r="N345" i="2"/>
  <c r="M345" i="2"/>
  <c r="L345" i="2"/>
  <c r="K345" i="2"/>
  <c r="H345" i="2"/>
  <c r="F345" i="2"/>
  <c r="E345" i="2"/>
  <c r="BT344" i="2"/>
  <c r="BT343" i="2" s="1"/>
  <c r="BO344" i="2"/>
  <c r="BN344" i="2"/>
  <c r="V344" i="2"/>
  <c r="T344" i="2"/>
  <c r="S344" i="2"/>
  <c r="R344" i="2"/>
  <c r="R343" i="2" s="1"/>
  <c r="Q344" i="2"/>
  <c r="Z344" i="2" s="1"/>
  <c r="P344" i="2"/>
  <c r="Y344" i="2" s="1"/>
  <c r="O344" i="2"/>
  <c r="O343" i="2" s="1"/>
  <c r="X343" i="2" s="1"/>
  <c r="G344" i="2"/>
  <c r="BO343" i="2"/>
  <c r="BM343" i="2"/>
  <c r="BL343" i="2"/>
  <c r="BK343" i="2"/>
  <c r="BJ343" i="2"/>
  <c r="BI343" i="2"/>
  <c r="BH343" i="2"/>
  <c r="BG343" i="2"/>
  <c r="BF343" i="2"/>
  <c r="BE343" i="2"/>
  <c r="BD343" i="2"/>
  <c r="BC343" i="2"/>
  <c r="BB343" i="2"/>
  <c r="BA343" i="2"/>
  <c r="AZ343" i="2"/>
  <c r="AY343" i="2"/>
  <c r="AX343" i="2"/>
  <c r="AW343" i="2"/>
  <c r="AV343" i="2"/>
  <c r="AU343" i="2"/>
  <c r="AT343" i="2"/>
  <c r="AS343" i="2"/>
  <c r="AR343" i="2"/>
  <c r="AQ343" i="2"/>
  <c r="AP343" i="2"/>
  <c r="AO343" i="2"/>
  <c r="AN343" i="2"/>
  <c r="AM343" i="2"/>
  <c r="AL343" i="2"/>
  <c r="AK343" i="2"/>
  <c r="AJ343" i="2"/>
  <c r="AI343" i="2"/>
  <c r="AH343" i="2"/>
  <c r="AG343" i="2"/>
  <c r="AF343" i="2"/>
  <c r="AE343" i="2"/>
  <c r="AD343" i="2"/>
  <c r="AC343" i="2"/>
  <c r="AB343" i="2"/>
  <c r="AA343" i="2"/>
  <c r="Z343" i="2"/>
  <c r="V343" i="2"/>
  <c r="T343" i="2"/>
  <c r="S343" i="2"/>
  <c r="Q343" i="2"/>
  <c r="N343" i="2"/>
  <c r="M343" i="2"/>
  <c r="L343" i="2"/>
  <c r="K343" i="2"/>
  <c r="J343" i="2"/>
  <c r="H343" i="2"/>
  <c r="G343" i="2"/>
  <c r="F343" i="2"/>
  <c r="E343" i="2"/>
  <c r="BO342" i="2"/>
  <c r="Y342" i="2"/>
  <c r="T342" i="2"/>
  <c r="S342" i="2"/>
  <c r="V342" i="2" s="1"/>
  <c r="BT342" i="2" s="1"/>
  <c r="R342" i="2"/>
  <c r="R340" i="2" s="1"/>
  <c r="R339" i="2" s="1"/>
  <c r="Q342" i="2"/>
  <c r="Z342" i="2" s="1"/>
  <c r="P342" i="2"/>
  <c r="O342" i="2"/>
  <c r="U342" i="2" s="1"/>
  <c r="BQ342" i="2" s="1"/>
  <c r="K342" i="2"/>
  <c r="I342" i="2"/>
  <c r="G342" i="2"/>
  <c r="BN341" i="2"/>
  <c r="Z341" i="2"/>
  <c r="Y341" i="2"/>
  <c r="X341" i="2"/>
  <c r="W341" i="2"/>
  <c r="T341" i="2"/>
  <c r="T340" i="2" s="1"/>
  <c r="S341" i="2"/>
  <c r="V341" i="2" s="1"/>
  <c r="BT341" i="2" s="1"/>
  <c r="BT340" i="2" s="1"/>
  <c r="BT339" i="2" s="1"/>
  <c r="R341" i="2"/>
  <c r="Q341" i="2"/>
  <c r="P341" i="2"/>
  <c r="O341" i="2"/>
  <c r="U341" i="2" s="1"/>
  <c r="G341" i="2"/>
  <c r="I341" i="2" s="1"/>
  <c r="BM340" i="2"/>
  <c r="BL340" i="2"/>
  <c r="BL339" i="2" s="1"/>
  <c r="BL328" i="2" s="1"/>
  <c r="BK340" i="2"/>
  <c r="BK339" i="2" s="1"/>
  <c r="BJ340" i="2"/>
  <c r="BI340" i="2"/>
  <c r="BH340" i="2"/>
  <c r="BG340" i="2"/>
  <c r="BF340" i="2"/>
  <c r="BF339" i="2" s="1"/>
  <c r="BE340" i="2"/>
  <c r="BD340" i="2"/>
  <c r="BC340" i="2"/>
  <c r="BB340" i="2"/>
  <c r="BA340" i="2"/>
  <c r="AZ340" i="2"/>
  <c r="AZ339" i="2" s="1"/>
  <c r="AY340" i="2"/>
  <c r="AX340" i="2"/>
  <c r="AW340" i="2"/>
  <c r="AV340" i="2"/>
  <c r="AU340" i="2"/>
  <c r="AT340" i="2"/>
  <c r="AT339" i="2" s="1"/>
  <c r="AT328" i="2" s="1"/>
  <c r="AS340" i="2"/>
  <c r="AS339" i="2" s="1"/>
  <c r="AR340" i="2"/>
  <c r="AQ340" i="2"/>
  <c r="AP340" i="2"/>
  <c r="AO340" i="2"/>
  <c r="AN340" i="2"/>
  <c r="AN339" i="2" s="1"/>
  <c r="AM340" i="2"/>
  <c r="AL340" i="2"/>
  <c r="AK340" i="2"/>
  <c r="AJ340" i="2"/>
  <c r="AI340" i="2"/>
  <c r="AH340" i="2"/>
  <c r="AH339" i="2" s="1"/>
  <c r="AG340" i="2"/>
  <c r="AF340" i="2"/>
  <c r="AE340" i="2"/>
  <c r="AD340" i="2"/>
  <c r="AC340" i="2"/>
  <c r="AB340" i="2"/>
  <c r="AB339" i="2" s="1"/>
  <c r="AB328" i="2" s="1"/>
  <c r="AA340" i="2"/>
  <c r="AA339" i="2" s="1"/>
  <c r="S340" i="2"/>
  <c r="S339" i="2" s="1"/>
  <c r="P340" i="2"/>
  <c r="O340" i="2"/>
  <c r="X340" i="2" s="1"/>
  <c r="N340" i="2"/>
  <c r="M340" i="2"/>
  <c r="L340" i="2"/>
  <c r="L339" i="2" s="1"/>
  <c r="K340" i="2"/>
  <c r="H340" i="2"/>
  <c r="F340" i="2"/>
  <c r="E340" i="2"/>
  <c r="BM339" i="2"/>
  <c r="BJ339" i="2"/>
  <c r="BH339" i="2"/>
  <c r="BG339" i="2"/>
  <c r="BE339" i="2"/>
  <c r="BD339" i="2"/>
  <c r="BB339" i="2"/>
  <c r="BA339" i="2"/>
  <c r="AY339" i="2"/>
  <c r="AV339" i="2"/>
  <c r="AU339" i="2"/>
  <c r="AR339" i="2"/>
  <c r="AP339" i="2"/>
  <c r="AO339" i="2"/>
  <c r="AM339" i="2"/>
  <c r="AL339" i="2"/>
  <c r="AJ339" i="2"/>
  <c r="AI339" i="2"/>
  <c r="AG339" i="2"/>
  <c r="AD339" i="2"/>
  <c r="AC339" i="2"/>
  <c r="O339" i="2"/>
  <c r="X339" i="2" s="1"/>
  <c r="K339" i="2"/>
  <c r="H339" i="2"/>
  <c r="F339" i="2"/>
  <c r="E339" i="2"/>
  <c r="BO338" i="2"/>
  <c r="BO337" i="2" s="1"/>
  <c r="Z338" i="2"/>
  <c r="Y338" i="2"/>
  <c r="X338" i="2"/>
  <c r="W338" i="2"/>
  <c r="W337" i="2" s="1"/>
  <c r="V338" i="2"/>
  <c r="T338" i="2"/>
  <c r="S338" i="2"/>
  <c r="S337" i="2" s="1"/>
  <c r="R338" i="2"/>
  <c r="Q338" i="2"/>
  <c r="P338" i="2"/>
  <c r="P337" i="2" s="1"/>
  <c r="Y337" i="2" s="1"/>
  <c r="O338" i="2"/>
  <c r="BN338" i="2" s="1"/>
  <c r="BN337" i="2" s="1"/>
  <c r="J338" i="2"/>
  <c r="I338" i="2"/>
  <c r="G338" i="2"/>
  <c r="G337" i="2" s="1"/>
  <c r="I337" i="2" s="1"/>
  <c r="BM337" i="2"/>
  <c r="BL337" i="2"/>
  <c r="BK337" i="2"/>
  <c r="BJ337" i="2"/>
  <c r="BI337" i="2"/>
  <c r="BH337" i="2"/>
  <c r="BG337" i="2"/>
  <c r="BF337" i="2"/>
  <c r="BE337" i="2"/>
  <c r="BD337" i="2"/>
  <c r="BC337" i="2"/>
  <c r="BB337" i="2"/>
  <c r="BA337" i="2"/>
  <c r="AZ337" i="2"/>
  <c r="AY337" i="2"/>
  <c r="AX337" i="2"/>
  <c r="AW337" i="2"/>
  <c r="AV337" i="2"/>
  <c r="AU337" i="2"/>
  <c r="AT337" i="2"/>
  <c r="AS337" i="2"/>
  <c r="AR337" i="2"/>
  <c r="AQ337" i="2"/>
  <c r="AP337" i="2"/>
  <c r="AO337" i="2"/>
  <c r="AN337" i="2"/>
  <c r="AM337" i="2"/>
  <c r="AL337" i="2"/>
  <c r="AK337" i="2"/>
  <c r="AJ337" i="2"/>
  <c r="AI337" i="2"/>
  <c r="AH337" i="2"/>
  <c r="AG337" i="2"/>
  <c r="AF337" i="2"/>
  <c r="AE337" i="2"/>
  <c r="AD337" i="2"/>
  <c r="AC337" i="2"/>
  <c r="AB337" i="2"/>
  <c r="AA337" i="2"/>
  <c r="T337" i="2"/>
  <c r="R337" i="2"/>
  <c r="Q337" i="2"/>
  <c r="Z337" i="2" s="1"/>
  <c r="O337" i="2"/>
  <c r="X337" i="2" s="1"/>
  <c r="N337" i="2"/>
  <c r="M337" i="2"/>
  <c r="L337" i="2"/>
  <c r="K337" i="2"/>
  <c r="H337" i="2"/>
  <c r="F337" i="2"/>
  <c r="E337" i="2"/>
  <c r="BO336" i="2"/>
  <c r="BO335" i="2" s="1"/>
  <c r="Z336" i="2"/>
  <c r="X336" i="2"/>
  <c r="W336" i="2"/>
  <c r="BR336" i="2" s="1"/>
  <c r="BR335" i="2" s="1"/>
  <c r="T336" i="2"/>
  <c r="T335" i="2" s="1"/>
  <c r="S336" i="2"/>
  <c r="S335" i="2" s="1"/>
  <c r="R336" i="2"/>
  <c r="Q336" i="2"/>
  <c r="P336" i="2"/>
  <c r="P335" i="2" s="1"/>
  <c r="Y335" i="2" s="1"/>
  <c r="O336" i="2"/>
  <c r="BN336" i="2" s="1"/>
  <c r="BP336" i="2" s="1"/>
  <c r="J336" i="2"/>
  <c r="I336" i="2"/>
  <c r="G336" i="2"/>
  <c r="G335" i="2" s="1"/>
  <c r="BN335" i="2"/>
  <c r="BM335" i="2"/>
  <c r="BL335" i="2"/>
  <c r="BK335" i="2"/>
  <c r="BJ335" i="2"/>
  <c r="BJ329" i="2" s="1"/>
  <c r="BJ328" i="2" s="1"/>
  <c r="BI335" i="2"/>
  <c r="BH335" i="2"/>
  <c r="BG335" i="2"/>
  <c r="BF335" i="2"/>
  <c r="BE335" i="2"/>
  <c r="BD335" i="2"/>
  <c r="BD329" i="2" s="1"/>
  <c r="BD328" i="2" s="1"/>
  <c r="BC335" i="2"/>
  <c r="BB335" i="2"/>
  <c r="BA335" i="2"/>
  <c r="BA329" i="2" s="1"/>
  <c r="AZ335" i="2"/>
  <c r="AY335" i="2"/>
  <c r="AX335" i="2"/>
  <c r="AX329" i="2" s="1"/>
  <c r="AX328" i="2" s="1"/>
  <c r="AW335" i="2"/>
  <c r="AV335" i="2"/>
  <c r="AU335" i="2"/>
  <c r="AT335" i="2"/>
  <c r="AS335" i="2"/>
  <c r="AR335" i="2"/>
  <c r="AR329" i="2" s="1"/>
  <c r="AR328" i="2" s="1"/>
  <c r="AQ335" i="2"/>
  <c r="AP335" i="2"/>
  <c r="AO335" i="2"/>
  <c r="AN335" i="2"/>
  <c r="AM335" i="2"/>
  <c r="AL335" i="2"/>
  <c r="AL329" i="2" s="1"/>
  <c r="AL328" i="2" s="1"/>
  <c r="AK335" i="2"/>
  <c r="AJ335" i="2"/>
  <c r="AI335" i="2"/>
  <c r="AI329" i="2" s="1"/>
  <c r="AH335" i="2"/>
  <c r="AG335" i="2"/>
  <c r="AF335" i="2"/>
  <c r="AF329" i="2" s="1"/>
  <c r="AF328" i="2" s="1"/>
  <c r="AE335" i="2"/>
  <c r="AD335" i="2"/>
  <c r="AC335" i="2"/>
  <c r="AB335" i="2"/>
  <c r="AA335" i="2"/>
  <c r="R335" i="2"/>
  <c r="Q335" i="2"/>
  <c r="Z335" i="2" s="1"/>
  <c r="O335" i="2"/>
  <c r="X335" i="2" s="1"/>
  <c r="N335" i="2"/>
  <c r="M335" i="2"/>
  <c r="L335" i="2"/>
  <c r="K335" i="2"/>
  <c r="I335" i="2"/>
  <c r="H335" i="2"/>
  <c r="F335" i="2"/>
  <c r="E335" i="2"/>
  <c r="Y334" i="2"/>
  <c r="X334" i="2"/>
  <c r="V334" i="2"/>
  <c r="T334" i="2"/>
  <c r="T333" i="2" s="1"/>
  <c r="S334" i="2"/>
  <c r="S333" i="2" s="1"/>
  <c r="R334" i="2"/>
  <c r="Q334" i="2"/>
  <c r="BO334" i="2" s="1"/>
  <c r="BO333" i="2" s="1"/>
  <c r="P334" i="2"/>
  <c r="P333" i="2" s="1"/>
  <c r="Y333" i="2" s="1"/>
  <c r="O334" i="2"/>
  <c r="BN334" i="2" s="1"/>
  <c r="BP334" i="2" s="1"/>
  <c r="J334" i="2"/>
  <c r="I334" i="2"/>
  <c r="G334" i="2"/>
  <c r="G333" i="2" s="1"/>
  <c r="BN333" i="2"/>
  <c r="BM333" i="2"/>
  <c r="BL333" i="2"/>
  <c r="BK333" i="2"/>
  <c r="BJ333" i="2"/>
  <c r="BI333" i="2"/>
  <c r="BH333" i="2"/>
  <c r="BG333" i="2"/>
  <c r="BF333" i="2"/>
  <c r="BE333" i="2"/>
  <c r="BD333" i="2"/>
  <c r="BC333" i="2"/>
  <c r="BB333" i="2"/>
  <c r="BA333" i="2"/>
  <c r="AZ333" i="2"/>
  <c r="AY333" i="2"/>
  <c r="AX333" i="2"/>
  <c r="AW333" i="2"/>
  <c r="AV333" i="2"/>
  <c r="AU333" i="2"/>
  <c r="AT333" i="2"/>
  <c r="AS333" i="2"/>
  <c r="AR333" i="2"/>
  <c r="AQ333" i="2"/>
  <c r="AP333" i="2"/>
  <c r="AO333" i="2"/>
  <c r="AN333" i="2"/>
  <c r="AM333" i="2"/>
  <c r="AL333" i="2"/>
  <c r="AK333" i="2"/>
  <c r="AJ333" i="2"/>
  <c r="AI333" i="2"/>
  <c r="AH333" i="2"/>
  <c r="AG333" i="2"/>
  <c r="AF333" i="2"/>
  <c r="AE333" i="2"/>
  <c r="AD333" i="2"/>
  <c r="AC333" i="2"/>
  <c r="AB333" i="2"/>
  <c r="AA333" i="2"/>
  <c r="R333" i="2"/>
  <c r="O333" i="2"/>
  <c r="X333" i="2" s="1"/>
  <c r="N333" i="2"/>
  <c r="N329" i="2" s="1"/>
  <c r="M333" i="2"/>
  <c r="L333" i="2"/>
  <c r="K333" i="2"/>
  <c r="K329" i="2" s="1"/>
  <c r="H333" i="2"/>
  <c r="H329" i="2" s="1"/>
  <c r="F333" i="2"/>
  <c r="F329" i="2" s="1"/>
  <c r="E333" i="2"/>
  <c r="BO332" i="2"/>
  <c r="Z332" i="2"/>
  <c r="Y332" i="2"/>
  <c r="X332" i="2"/>
  <c r="W332" i="2"/>
  <c r="BR332" i="2" s="1"/>
  <c r="V332" i="2"/>
  <c r="BT332" i="2" s="1"/>
  <c r="T332" i="2"/>
  <c r="S332" i="2"/>
  <c r="R332" i="2"/>
  <c r="Q332" i="2"/>
  <c r="P332" i="2"/>
  <c r="P330" i="2" s="1"/>
  <c r="O332" i="2"/>
  <c r="BN332" i="2" s="1"/>
  <c r="BP332" i="2" s="1"/>
  <c r="J332" i="2"/>
  <c r="I332" i="2"/>
  <c r="G332" i="2"/>
  <c r="BT331" i="2"/>
  <c r="BT330" i="2" s="1"/>
  <c r="Z331" i="2"/>
  <c r="Y331" i="2"/>
  <c r="W331" i="2"/>
  <c r="T331" i="2"/>
  <c r="S331" i="2"/>
  <c r="V331" i="2" s="1"/>
  <c r="R331" i="2"/>
  <c r="R330" i="2" s="1"/>
  <c r="R329" i="2" s="1"/>
  <c r="Q331" i="2"/>
  <c r="P331" i="2"/>
  <c r="O331" i="2"/>
  <c r="U331" i="2" s="1"/>
  <c r="G331" i="2"/>
  <c r="I331" i="2" s="1"/>
  <c r="BM330" i="2"/>
  <c r="BL330" i="2"/>
  <c r="BL329" i="2" s="1"/>
  <c r="BK330" i="2"/>
  <c r="BJ330" i="2"/>
  <c r="BI330" i="2"/>
  <c r="BI329" i="2" s="1"/>
  <c r="BH330" i="2"/>
  <c r="BH329" i="2" s="1"/>
  <c r="BH328" i="2" s="1"/>
  <c r="BG330" i="2"/>
  <c r="BF330" i="2"/>
  <c r="BF329" i="2" s="1"/>
  <c r="BE330" i="2"/>
  <c r="BE329" i="2" s="1"/>
  <c r="BE328" i="2" s="1"/>
  <c r="BD330" i="2"/>
  <c r="BC330" i="2"/>
  <c r="BC329" i="2" s="1"/>
  <c r="BB330" i="2"/>
  <c r="BA330" i="2"/>
  <c r="AZ330" i="2"/>
  <c r="AZ329" i="2" s="1"/>
  <c r="AZ328" i="2" s="1"/>
  <c r="AY330" i="2"/>
  <c r="AY329" i="2" s="1"/>
  <c r="AY328" i="2" s="1"/>
  <c r="AX330" i="2"/>
  <c r="AW330" i="2"/>
  <c r="AW329" i="2" s="1"/>
  <c r="AV330" i="2"/>
  <c r="AV329" i="2" s="1"/>
  <c r="AV328" i="2" s="1"/>
  <c r="AU330" i="2"/>
  <c r="AT330" i="2"/>
  <c r="AT329" i="2" s="1"/>
  <c r="AS330" i="2"/>
  <c r="AR330" i="2"/>
  <c r="AQ330" i="2"/>
  <c r="AQ329" i="2" s="1"/>
  <c r="AP330" i="2"/>
  <c r="AP329" i="2" s="1"/>
  <c r="AP328" i="2" s="1"/>
  <c r="AO330" i="2"/>
  <c r="AN330" i="2"/>
  <c r="AN329" i="2" s="1"/>
  <c r="AM330" i="2"/>
  <c r="AM329" i="2" s="1"/>
  <c r="AM328" i="2" s="1"/>
  <c r="AL330" i="2"/>
  <c r="AK330" i="2"/>
  <c r="AK329" i="2" s="1"/>
  <c r="AJ330" i="2"/>
  <c r="AI330" i="2"/>
  <c r="AH330" i="2"/>
  <c r="AH329" i="2" s="1"/>
  <c r="AH328" i="2" s="1"/>
  <c r="AG330" i="2"/>
  <c r="AG329" i="2" s="1"/>
  <c r="AG328" i="2" s="1"/>
  <c r="AF330" i="2"/>
  <c r="AE330" i="2"/>
  <c r="AE329" i="2" s="1"/>
  <c r="AD330" i="2"/>
  <c r="AD329" i="2" s="1"/>
  <c r="AD328" i="2" s="1"/>
  <c r="AC330" i="2"/>
  <c r="AB330" i="2"/>
  <c r="AB329" i="2" s="1"/>
  <c r="AA330" i="2"/>
  <c r="V330" i="2"/>
  <c r="S330" i="2"/>
  <c r="N330" i="2"/>
  <c r="M330" i="2"/>
  <c r="M329" i="2" s="1"/>
  <c r="L330" i="2"/>
  <c r="L329" i="2" s="1"/>
  <c r="K330" i="2"/>
  <c r="H330" i="2"/>
  <c r="F330" i="2"/>
  <c r="E330" i="2"/>
  <c r="BM329" i="2"/>
  <c r="BK329" i="2"/>
  <c r="BG329" i="2"/>
  <c r="BB329" i="2"/>
  <c r="BB328" i="2" s="1"/>
  <c r="AU329" i="2"/>
  <c r="AS329" i="2"/>
  <c r="AO329" i="2"/>
  <c r="AJ329" i="2"/>
  <c r="AJ328" i="2" s="1"/>
  <c r="AC329" i="2"/>
  <c r="AA329" i="2"/>
  <c r="E329" i="2"/>
  <c r="BF328" i="2"/>
  <c r="AN328" i="2"/>
  <c r="BO327" i="2"/>
  <c r="BN327" i="2"/>
  <c r="BP327" i="2" s="1"/>
  <c r="X327" i="2"/>
  <c r="V327" i="2"/>
  <c r="BT327" i="2" s="1"/>
  <c r="BT324" i="2" s="1"/>
  <c r="T327" i="2"/>
  <c r="S327" i="2"/>
  <c r="R327" i="2"/>
  <c r="Q327" i="2"/>
  <c r="Z327" i="2" s="1"/>
  <c r="P327" i="2"/>
  <c r="Y327" i="2" s="1"/>
  <c r="O327" i="2"/>
  <c r="U327" i="2" s="1"/>
  <c r="BQ327" i="2" s="1"/>
  <c r="G327" i="2"/>
  <c r="J327" i="2" s="1"/>
  <c r="Y326" i="2"/>
  <c r="X326" i="2"/>
  <c r="V326" i="2"/>
  <c r="BT326" i="2" s="1"/>
  <c r="T326" i="2"/>
  <c r="S326" i="2"/>
  <c r="R326" i="2"/>
  <c r="Q326" i="2"/>
  <c r="BO326" i="2" s="1"/>
  <c r="BO324" i="2" s="1"/>
  <c r="P326" i="2"/>
  <c r="P324" i="2" s="1"/>
  <c r="Y324" i="2" s="1"/>
  <c r="O326" i="2"/>
  <c r="BN326" i="2" s="1"/>
  <c r="J326" i="2"/>
  <c r="I326" i="2"/>
  <c r="G326" i="2"/>
  <c r="BT325" i="2"/>
  <c r="BN325" i="2"/>
  <c r="BN324" i="2" s="1"/>
  <c r="Y325" i="2"/>
  <c r="X325" i="2"/>
  <c r="T325" i="2"/>
  <c r="S325" i="2"/>
  <c r="V325" i="2" s="1"/>
  <c r="R325" i="2"/>
  <c r="Q325" i="2"/>
  <c r="BO325" i="2" s="1"/>
  <c r="P325" i="2"/>
  <c r="O325" i="2"/>
  <c r="U325" i="2" s="1"/>
  <c r="J325" i="2"/>
  <c r="G325" i="2"/>
  <c r="I325" i="2" s="1"/>
  <c r="BM324" i="2"/>
  <c r="BL324" i="2"/>
  <c r="S324" i="2" s="1"/>
  <c r="BK324" i="2"/>
  <c r="BJ324" i="2"/>
  <c r="BI324" i="2"/>
  <c r="BH324" i="2"/>
  <c r="BG324" i="2"/>
  <c r="BF324" i="2"/>
  <c r="BE324" i="2"/>
  <c r="BD324" i="2"/>
  <c r="BC324" i="2"/>
  <c r="BB324" i="2"/>
  <c r="BA324" i="2"/>
  <c r="AZ324" i="2"/>
  <c r="AY324" i="2"/>
  <c r="AX324" i="2"/>
  <c r="AW324" i="2"/>
  <c r="AV324" i="2"/>
  <c r="AU324" i="2"/>
  <c r="AT324" i="2"/>
  <c r="AS324" i="2"/>
  <c r="AR324" i="2"/>
  <c r="AQ324" i="2"/>
  <c r="AP324" i="2"/>
  <c r="AO324" i="2"/>
  <c r="AN324" i="2"/>
  <c r="AM324" i="2"/>
  <c r="AL324" i="2"/>
  <c r="AK324" i="2"/>
  <c r="AJ324" i="2"/>
  <c r="AI324" i="2"/>
  <c r="AH324" i="2"/>
  <c r="AG324" i="2"/>
  <c r="AF324" i="2"/>
  <c r="AE324" i="2"/>
  <c r="AD324" i="2"/>
  <c r="AC324" i="2"/>
  <c r="AB324" i="2"/>
  <c r="AA324" i="2"/>
  <c r="X324" i="2"/>
  <c r="R324" i="2"/>
  <c r="O324" i="2"/>
  <c r="N324" i="2"/>
  <c r="M324" i="2"/>
  <c r="L324" i="2"/>
  <c r="K324" i="2"/>
  <c r="H324" i="2"/>
  <c r="F324" i="2"/>
  <c r="E324" i="2"/>
  <c r="BN323" i="2"/>
  <c r="BP323" i="2" s="1"/>
  <c r="Z323" i="2"/>
  <c r="Y323" i="2"/>
  <c r="X323" i="2"/>
  <c r="W323" i="2"/>
  <c r="W322" i="2" s="1"/>
  <c r="T323" i="2"/>
  <c r="T322" i="2" s="1"/>
  <c r="S323" i="2"/>
  <c r="V323" i="2" s="1"/>
  <c r="V322" i="2" s="1"/>
  <c r="R323" i="2"/>
  <c r="Q323" i="2"/>
  <c r="BO323" i="2" s="1"/>
  <c r="P323" i="2"/>
  <c r="O323" i="2"/>
  <c r="U323" i="2" s="1"/>
  <c r="J323" i="2"/>
  <c r="I323" i="2"/>
  <c r="G323" i="2"/>
  <c r="BO322" i="2"/>
  <c r="BN322" i="2"/>
  <c r="BM322" i="2"/>
  <c r="BL322" i="2"/>
  <c r="BK322" i="2"/>
  <c r="BJ322" i="2"/>
  <c r="BI322" i="2"/>
  <c r="BH322" i="2"/>
  <c r="BG322" i="2"/>
  <c r="BF322" i="2"/>
  <c r="BE322" i="2"/>
  <c r="BD322" i="2"/>
  <c r="BC322" i="2"/>
  <c r="BB322" i="2"/>
  <c r="BA322" i="2"/>
  <c r="AZ322" i="2"/>
  <c r="AY322" i="2"/>
  <c r="AX322" i="2"/>
  <c r="AW322" i="2"/>
  <c r="AV322" i="2"/>
  <c r="AU322" i="2"/>
  <c r="AT322" i="2"/>
  <c r="AS322" i="2"/>
  <c r="AR322" i="2"/>
  <c r="AQ322" i="2"/>
  <c r="AP322" i="2"/>
  <c r="AO322" i="2"/>
  <c r="AN322" i="2"/>
  <c r="AM322" i="2"/>
  <c r="AL322" i="2"/>
  <c r="AK322" i="2"/>
  <c r="AJ322" i="2"/>
  <c r="AI322" i="2"/>
  <c r="AH322" i="2"/>
  <c r="AG322" i="2"/>
  <c r="AF322" i="2"/>
  <c r="AE322" i="2"/>
  <c r="AD322" i="2"/>
  <c r="AC322" i="2"/>
  <c r="AB322" i="2"/>
  <c r="AA322" i="2"/>
  <c r="R322" i="2"/>
  <c r="P322" i="2"/>
  <c r="Y322" i="2" s="1"/>
  <c r="O322" i="2"/>
  <c r="X322" i="2" s="1"/>
  <c r="N322" i="2"/>
  <c r="M322" i="2"/>
  <c r="L322" i="2"/>
  <c r="K322" i="2"/>
  <c r="J322" i="2"/>
  <c r="I322" i="2"/>
  <c r="H322" i="2"/>
  <c r="G322" i="2"/>
  <c r="F322" i="2"/>
  <c r="E322" i="2"/>
  <c r="BT321" i="2"/>
  <c r="X321" i="2"/>
  <c r="V321" i="2"/>
  <c r="T321" i="2"/>
  <c r="T320" i="2" s="1"/>
  <c r="T319" i="2" s="1"/>
  <c r="S321" i="2"/>
  <c r="R321" i="2"/>
  <c r="Q321" i="2"/>
  <c r="Z321" i="2" s="1"/>
  <c r="P321" i="2"/>
  <c r="Y321" i="2" s="1"/>
  <c r="O321" i="2"/>
  <c r="BN321" i="2" s="1"/>
  <c r="J321" i="2"/>
  <c r="G321" i="2"/>
  <c r="I321" i="2" s="1"/>
  <c r="BT320" i="2"/>
  <c r="BM320" i="2"/>
  <c r="BL320" i="2"/>
  <c r="BL319" i="2" s="1"/>
  <c r="BK320" i="2"/>
  <c r="BK319" i="2" s="1"/>
  <c r="BJ320" i="2"/>
  <c r="BI320" i="2"/>
  <c r="BI319" i="2" s="1"/>
  <c r="BH320" i="2"/>
  <c r="BH319" i="2" s="1"/>
  <c r="BG320" i="2"/>
  <c r="BF320" i="2"/>
  <c r="BF319" i="2" s="1"/>
  <c r="BE320" i="2"/>
  <c r="BE319" i="2" s="1"/>
  <c r="BD320" i="2"/>
  <c r="BC320" i="2"/>
  <c r="BC319" i="2" s="1"/>
  <c r="BB320" i="2"/>
  <c r="BB319" i="2" s="1"/>
  <c r="BA320" i="2"/>
  <c r="AZ320" i="2"/>
  <c r="AZ319" i="2" s="1"/>
  <c r="AY320" i="2"/>
  <c r="AY319" i="2" s="1"/>
  <c r="AX320" i="2"/>
  <c r="AW320" i="2"/>
  <c r="AW319" i="2" s="1"/>
  <c r="AV320" i="2"/>
  <c r="AV319" i="2" s="1"/>
  <c r="AU320" i="2"/>
  <c r="AT320" i="2"/>
  <c r="AT319" i="2" s="1"/>
  <c r="AS320" i="2"/>
  <c r="AS319" i="2" s="1"/>
  <c r="AR320" i="2"/>
  <c r="AQ320" i="2"/>
  <c r="AQ319" i="2" s="1"/>
  <c r="AP320" i="2"/>
  <c r="AP319" i="2" s="1"/>
  <c r="AO320" i="2"/>
  <c r="AN320" i="2"/>
  <c r="AN319" i="2" s="1"/>
  <c r="AM320" i="2"/>
  <c r="AM319" i="2" s="1"/>
  <c r="AL320" i="2"/>
  <c r="AK320" i="2"/>
  <c r="AK319" i="2" s="1"/>
  <c r="AJ320" i="2"/>
  <c r="AJ319" i="2" s="1"/>
  <c r="AI320" i="2"/>
  <c r="AH320" i="2"/>
  <c r="AH319" i="2" s="1"/>
  <c r="AG320" i="2"/>
  <c r="AG319" i="2" s="1"/>
  <c r="AF320" i="2"/>
  <c r="AE320" i="2"/>
  <c r="AE319" i="2" s="1"/>
  <c r="AD320" i="2"/>
  <c r="AD319" i="2" s="1"/>
  <c r="AC320" i="2"/>
  <c r="AB320" i="2"/>
  <c r="AB319" i="2" s="1"/>
  <c r="AA320" i="2"/>
  <c r="AA319" i="2" s="1"/>
  <c r="V320" i="2"/>
  <c r="V319" i="2" s="1"/>
  <c r="S320" i="2"/>
  <c r="R320" i="2"/>
  <c r="R319" i="2" s="1"/>
  <c r="P320" i="2"/>
  <c r="P319" i="2" s="1"/>
  <c r="Y319" i="2" s="1"/>
  <c r="O320" i="2"/>
  <c r="X320" i="2" s="1"/>
  <c r="N320" i="2"/>
  <c r="M320" i="2"/>
  <c r="M319" i="2" s="1"/>
  <c r="L320" i="2"/>
  <c r="L319" i="2" s="1"/>
  <c r="K320" i="2"/>
  <c r="H320" i="2"/>
  <c r="F320" i="2"/>
  <c r="F319" i="2" s="1"/>
  <c r="E320" i="2"/>
  <c r="BM319" i="2"/>
  <c r="BJ319" i="2"/>
  <c r="BG319" i="2"/>
  <c r="BD319" i="2"/>
  <c r="BA319" i="2"/>
  <c r="AX319" i="2"/>
  <c r="AU319" i="2"/>
  <c r="AR319" i="2"/>
  <c r="AO319" i="2"/>
  <c r="AL319" i="2"/>
  <c r="AI319" i="2"/>
  <c r="AF319" i="2"/>
  <c r="AC319" i="2"/>
  <c r="N319" i="2"/>
  <c r="K319" i="2"/>
  <c r="H319" i="2"/>
  <c r="E319" i="2"/>
  <c r="BO318" i="2"/>
  <c r="BO317" i="2" s="1"/>
  <c r="V318" i="2"/>
  <c r="V317" i="2" s="1"/>
  <c r="T318" i="2"/>
  <c r="S318" i="2"/>
  <c r="S317" i="2" s="1"/>
  <c r="R318" i="2"/>
  <c r="Q318" i="2"/>
  <c r="W318" i="2" s="1"/>
  <c r="P318" i="2"/>
  <c r="Y318" i="2" s="1"/>
  <c r="O318" i="2"/>
  <c r="X318" i="2" s="1"/>
  <c r="J318" i="2"/>
  <c r="I318" i="2"/>
  <c r="G318" i="2"/>
  <c r="BM317" i="2"/>
  <c r="BL317" i="2"/>
  <c r="BK317" i="2"/>
  <c r="BJ317" i="2"/>
  <c r="BI317" i="2"/>
  <c r="BH317" i="2"/>
  <c r="BG317" i="2"/>
  <c r="BF317" i="2"/>
  <c r="BE317" i="2"/>
  <c r="BD317" i="2"/>
  <c r="BC317" i="2"/>
  <c r="BB317" i="2"/>
  <c r="BA317" i="2"/>
  <c r="AZ317" i="2"/>
  <c r="AY317" i="2"/>
  <c r="AX317" i="2"/>
  <c r="AW317" i="2"/>
  <c r="AV317" i="2"/>
  <c r="AU317" i="2"/>
  <c r="AT317" i="2"/>
  <c r="AS317" i="2"/>
  <c r="AR317" i="2"/>
  <c r="AQ317" i="2"/>
  <c r="AP317" i="2"/>
  <c r="AO317" i="2"/>
  <c r="AN317" i="2"/>
  <c r="AM317" i="2"/>
  <c r="AL317" i="2"/>
  <c r="AK317" i="2"/>
  <c r="AJ317" i="2"/>
  <c r="AI317" i="2"/>
  <c r="AH317" i="2"/>
  <c r="AG317" i="2"/>
  <c r="AF317" i="2"/>
  <c r="AE317" i="2"/>
  <c r="AD317" i="2"/>
  <c r="AC317" i="2"/>
  <c r="AB317" i="2"/>
  <c r="AA317" i="2"/>
  <c r="Z317" i="2"/>
  <c r="T317" i="2"/>
  <c r="R317" i="2"/>
  <c r="Q317" i="2"/>
  <c r="O317" i="2"/>
  <c r="X317" i="2" s="1"/>
  <c r="N317" i="2"/>
  <c r="M317" i="2"/>
  <c r="L317" i="2"/>
  <c r="K317" i="2"/>
  <c r="I317" i="2"/>
  <c r="H317" i="2"/>
  <c r="G317" i="2"/>
  <c r="J317" i="2" s="1"/>
  <c r="F317" i="2"/>
  <c r="E317" i="2"/>
  <c r="AP316" i="2"/>
  <c r="AP315" i="2" s="1"/>
  <c r="AP806" i="2" s="1"/>
  <c r="X316" i="2"/>
  <c r="V316" i="2"/>
  <c r="BT316" i="2" s="1"/>
  <c r="BT315" i="2" s="1"/>
  <c r="T316" i="2"/>
  <c r="T315" i="2" s="1"/>
  <c r="S316" i="2"/>
  <c r="R316" i="2"/>
  <c r="R315" i="2" s="1"/>
  <c r="Q316" i="2"/>
  <c r="Z316" i="2" s="1"/>
  <c r="P316" i="2"/>
  <c r="Y316" i="2" s="1"/>
  <c r="O316" i="2"/>
  <c r="BN316" i="2" s="1"/>
  <c r="E316" i="2"/>
  <c r="G316" i="2" s="1"/>
  <c r="BM315" i="2"/>
  <c r="BM806" i="2" s="1"/>
  <c r="BL315" i="2"/>
  <c r="BK315" i="2"/>
  <c r="BK806" i="2" s="1"/>
  <c r="BJ315" i="2"/>
  <c r="BJ806" i="2" s="1"/>
  <c r="BI315" i="2"/>
  <c r="BI806" i="2" s="1"/>
  <c r="BH315" i="2"/>
  <c r="BH806" i="2" s="1"/>
  <c r="BG315" i="2"/>
  <c r="BG806" i="2" s="1"/>
  <c r="BF315" i="2"/>
  <c r="BE315" i="2"/>
  <c r="BE806" i="2" s="1"/>
  <c r="BD315" i="2"/>
  <c r="BD806" i="2" s="1"/>
  <c r="BC315" i="2"/>
  <c r="BC806" i="2" s="1"/>
  <c r="BB315" i="2"/>
  <c r="BB806" i="2" s="1"/>
  <c r="BA315" i="2"/>
  <c r="BA806" i="2" s="1"/>
  <c r="AZ315" i="2"/>
  <c r="AY315" i="2"/>
  <c r="AY806" i="2" s="1"/>
  <c r="AX315" i="2"/>
  <c r="AX806" i="2" s="1"/>
  <c r="AW315" i="2"/>
  <c r="AW806" i="2" s="1"/>
  <c r="AV315" i="2"/>
  <c r="AV806" i="2" s="1"/>
  <c r="AU315" i="2"/>
  <c r="AU806" i="2" s="1"/>
  <c r="AT315" i="2"/>
  <c r="AS315" i="2"/>
  <c r="AS806" i="2" s="1"/>
  <c r="AR315" i="2"/>
  <c r="AR806" i="2" s="1"/>
  <c r="AQ315" i="2"/>
  <c r="AQ806" i="2" s="1"/>
  <c r="AO315" i="2"/>
  <c r="AO806" i="2" s="1"/>
  <c r="AN315" i="2"/>
  <c r="AM315" i="2"/>
  <c r="AL315" i="2"/>
  <c r="AL806" i="2" s="1"/>
  <c r="AK315" i="2"/>
  <c r="AK806" i="2" s="1"/>
  <c r="AJ315" i="2"/>
  <c r="AJ806" i="2" s="1"/>
  <c r="AI315" i="2"/>
  <c r="AI806" i="2" s="1"/>
  <c r="AH315" i="2"/>
  <c r="AG315" i="2"/>
  <c r="AG806" i="2" s="1"/>
  <c r="AF315" i="2"/>
  <c r="AF806" i="2" s="1"/>
  <c r="AE315" i="2"/>
  <c r="AE806" i="2" s="1"/>
  <c r="AD315" i="2"/>
  <c r="AD806" i="2" s="1"/>
  <c r="AC315" i="2"/>
  <c r="AC806" i="2" s="1"/>
  <c r="AB315" i="2"/>
  <c r="AA315" i="2"/>
  <c r="AA806" i="2" s="1"/>
  <c r="V315" i="2"/>
  <c r="S315" i="2"/>
  <c r="P315" i="2"/>
  <c r="Y315" i="2" s="1"/>
  <c r="O315" i="2"/>
  <c r="X315" i="2" s="1"/>
  <c r="N315" i="2"/>
  <c r="M315" i="2"/>
  <c r="L315" i="2"/>
  <c r="K315" i="2"/>
  <c r="H315" i="2"/>
  <c r="F315" i="2"/>
  <c r="BO314" i="2"/>
  <c r="Y314" i="2"/>
  <c r="X314" i="2"/>
  <c r="T314" i="2"/>
  <c r="S314" i="2"/>
  <c r="V314" i="2" s="1"/>
  <c r="BT314" i="2" s="1"/>
  <c r="R314" i="2"/>
  <c r="R312" i="2" s="1"/>
  <c r="R311" i="2" s="1"/>
  <c r="Q314" i="2"/>
  <c r="Z314" i="2" s="1"/>
  <c r="P314" i="2"/>
  <c r="O314" i="2"/>
  <c r="BN314" i="2" s="1"/>
  <c r="BP314" i="2" s="1"/>
  <c r="G314" i="2"/>
  <c r="J314" i="2" s="1"/>
  <c r="BO313" i="2"/>
  <c r="BO312" i="2" s="1"/>
  <c r="Z313" i="2"/>
  <c r="Y313" i="2"/>
  <c r="X313" i="2"/>
  <c r="T313" i="2"/>
  <c r="S313" i="2"/>
  <c r="V313" i="2" s="1"/>
  <c r="R313" i="2"/>
  <c r="Q313" i="2"/>
  <c r="W313" i="2" s="1"/>
  <c r="P313" i="2"/>
  <c r="P312" i="2" s="1"/>
  <c r="O313" i="2"/>
  <c r="BN313" i="2" s="1"/>
  <c r="J313" i="2"/>
  <c r="I313" i="2"/>
  <c r="G313" i="2"/>
  <c r="G312" i="2" s="1"/>
  <c r="BM312" i="2"/>
  <c r="BM311" i="2" s="1"/>
  <c r="BL312" i="2"/>
  <c r="BK312" i="2"/>
  <c r="BK311" i="2" s="1"/>
  <c r="BJ312" i="2"/>
  <c r="BJ311" i="2" s="1"/>
  <c r="BI312" i="2"/>
  <c r="BH312" i="2"/>
  <c r="BH311" i="2" s="1"/>
  <c r="BG312" i="2"/>
  <c r="BG311" i="2" s="1"/>
  <c r="BF312" i="2"/>
  <c r="BE312" i="2"/>
  <c r="BE311" i="2" s="1"/>
  <c r="BD312" i="2"/>
  <c r="BD311" i="2" s="1"/>
  <c r="BC312" i="2"/>
  <c r="BB312" i="2"/>
  <c r="BB311" i="2" s="1"/>
  <c r="BA312" i="2"/>
  <c r="BA311" i="2" s="1"/>
  <c r="AZ312" i="2"/>
  <c r="AY312" i="2"/>
  <c r="AY311" i="2" s="1"/>
  <c r="AX312" i="2"/>
  <c r="AX311" i="2" s="1"/>
  <c r="AW312" i="2"/>
  <c r="AV312" i="2"/>
  <c r="AV311" i="2" s="1"/>
  <c r="AU312" i="2"/>
  <c r="AU311" i="2" s="1"/>
  <c r="AT312" i="2"/>
  <c r="AS312" i="2"/>
  <c r="AS311" i="2" s="1"/>
  <c r="AR312" i="2"/>
  <c r="AR311" i="2" s="1"/>
  <c r="AQ312" i="2"/>
  <c r="AP312" i="2"/>
  <c r="AP311" i="2" s="1"/>
  <c r="AO312" i="2"/>
  <c r="AO311" i="2" s="1"/>
  <c r="AN312" i="2"/>
  <c r="AM312" i="2"/>
  <c r="AM311" i="2" s="1"/>
  <c r="AL312" i="2"/>
  <c r="AL311" i="2" s="1"/>
  <c r="AK312" i="2"/>
  <c r="AJ312" i="2"/>
  <c r="AJ311" i="2" s="1"/>
  <c r="AI312" i="2"/>
  <c r="AI311" i="2" s="1"/>
  <c r="AH312" i="2"/>
  <c r="AG312" i="2"/>
  <c r="AG311" i="2" s="1"/>
  <c r="AF312" i="2"/>
  <c r="AF311" i="2" s="1"/>
  <c r="AE312" i="2"/>
  <c r="AD312" i="2"/>
  <c r="AD311" i="2" s="1"/>
  <c r="AC312" i="2"/>
  <c r="AC311" i="2" s="1"/>
  <c r="AB312" i="2"/>
  <c r="AA312" i="2"/>
  <c r="AA311" i="2" s="1"/>
  <c r="T312" i="2"/>
  <c r="Q312" i="2"/>
  <c r="Z312" i="2" s="1"/>
  <c r="N312" i="2"/>
  <c r="N311" i="2" s="1"/>
  <c r="M312" i="2"/>
  <c r="L312" i="2"/>
  <c r="L311" i="2" s="1"/>
  <c r="K312" i="2"/>
  <c r="K311" i="2" s="1"/>
  <c r="H312" i="2"/>
  <c r="H311" i="2" s="1"/>
  <c r="F312" i="2"/>
  <c r="F311" i="2" s="1"/>
  <c r="E312" i="2"/>
  <c r="BL311" i="2"/>
  <c r="BI311" i="2"/>
  <c r="BF311" i="2"/>
  <c r="BC311" i="2"/>
  <c r="AZ311" i="2"/>
  <c r="AW311" i="2"/>
  <c r="AT311" i="2"/>
  <c r="AQ311" i="2"/>
  <c r="AN311" i="2"/>
  <c r="AK311" i="2"/>
  <c r="AH311" i="2"/>
  <c r="AE311" i="2"/>
  <c r="AB311" i="2"/>
  <c r="M311" i="2"/>
  <c r="BT310" i="2"/>
  <c r="BT308" i="2" s="1"/>
  <c r="BR310" i="2"/>
  <c r="BQ310" i="2"/>
  <c r="BS310" i="2" s="1"/>
  <c r="BV310" i="2" s="1"/>
  <c r="BO310" i="2"/>
  <c r="BN310" i="2"/>
  <c r="BN308" i="2" s="1"/>
  <c r="G310" i="2"/>
  <c r="J310" i="2" s="1"/>
  <c r="BT309" i="2"/>
  <c r="BR309" i="2"/>
  <c r="BS309" i="2" s="1"/>
  <c r="BQ309" i="2"/>
  <c r="BO309" i="2"/>
  <c r="BO308" i="2" s="1"/>
  <c r="BN309" i="2"/>
  <c r="J309" i="2"/>
  <c r="I309" i="2"/>
  <c r="G309" i="2"/>
  <c r="G308" i="2" s="1"/>
  <c r="BM308" i="2"/>
  <c r="BL308" i="2"/>
  <c r="BK308" i="2"/>
  <c r="BJ308" i="2"/>
  <c r="BI308" i="2"/>
  <c r="BH308" i="2"/>
  <c r="BG308" i="2"/>
  <c r="BF308" i="2"/>
  <c r="BE308" i="2"/>
  <c r="BD308" i="2"/>
  <c r="BC308" i="2"/>
  <c r="BB308" i="2"/>
  <c r="BA308" i="2"/>
  <c r="AZ308" i="2"/>
  <c r="AY308" i="2"/>
  <c r="AX308" i="2"/>
  <c r="AW308" i="2"/>
  <c r="AV308" i="2"/>
  <c r="AU308" i="2"/>
  <c r="AT308" i="2"/>
  <c r="AS308" i="2"/>
  <c r="AR308" i="2"/>
  <c r="AQ308" i="2"/>
  <c r="AP308" i="2"/>
  <c r="AO308" i="2"/>
  <c r="AN308" i="2"/>
  <c r="AM308" i="2"/>
  <c r="AL308" i="2"/>
  <c r="AK308" i="2"/>
  <c r="AJ308" i="2"/>
  <c r="AI308" i="2"/>
  <c r="AH308" i="2"/>
  <c r="AG308" i="2"/>
  <c r="AF308" i="2"/>
  <c r="AE308" i="2"/>
  <c r="AD308" i="2"/>
  <c r="AC308" i="2"/>
  <c r="AB308" i="2"/>
  <c r="AA308" i="2"/>
  <c r="X308" i="2"/>
  <c r="W308" i="2"/>
  <c r="V308" i="2"/>
  <c r="U308" i="2"/>
  <c r="T308" i="2"/>
  <c r="S308" i="2"/>
  <c r="R308" i="2"/>
  <c r="Q308" i="2"/>
  <c r="Z308" i="2" s="1"/>
  <c r="P308" i="2"/>
  <c r="Y308" i="2" s="1"/>
  <c r="O308" i="2"/>
  <c r="N308" i="2"/>
  <c r="M308" i="2"/>
  <c r="L308" i="2"/>
  <c r="K308" i="2"/>
  <c r="H308" i="2"/>
  <c r="F308" i="2"/>
  <c r="E308" i="2"/>
  <c r="BO307" i="2"/>
  <c r="BO306" i="2" s="1"/>
  <c r="Z307" i="2"/>
  <c r="Y307" i="2"/>
  <c r="X307" i="2"/>
  <c r="T307" i="2"/>
  <c r="S307" i="2"/>
  <c r="V307" i="2" s="1"/>
  <c r="R307" i="2"/>
  <c r="Q307" i="2"/>
  <c r="W307" i="2" s="1"/>
  <c r="P307" i="2"/>
  <c r="P306" i="2" s="1"/>
  <c r="Y306" i="2" s="1"/>
  <c r="O307" i="2"/>
  <c r="BN307" i="2" s="1"/>
  <c r="J307" i="2"/>
  <c r="I307" i="2"/>
  <c r="G307" i="2"/>
  <c r="G306" i="2" s="1"/>
  <c r="BM306" i="2"/>
  <c r="BL306" i="2"/>
  <c r="BK306" i="2"/>
  <c r="BJ306" i="2"/>
  <c r="BI306" i="2"/>
  <c r="BH306" i="2"/>
  <c r="BG306" i="2"/>
  <c r="BF306" i="2"/>
  <c r="BE306" i="2"/>
  <c r="BD306" i="2"/>
  <c r="BC306" i="2"/>
  <c r="BB306" i="2"/>
  <c r="BA306" i="2"/>
  <c r="AZ306" i="2"/>
  <c r="AY306" i="2"/>
  <c r="AX306" i="2"/>
  <c r="AW306" i="2"/>
  <c r="AV306" i="2"/>
  <c r="AU306" i="2"/>
  <c r="AT306" i="2"/>
  <c r="AS306" i="2"/>
  <c r="AR306" i="2"/>
  <c r="AQ306" i="2"/>
  <c r="AP306" i="2"/>
  <c r="AO306" i="2"/>
  <c r="AN306" i="2"/>
  <c r="AM306" i="2"/>
  <c r="AL306" i="2"/>
  <c r="AK306" i="2"/>
  <c r="AJ306" i="2"/>
  <c r="AI306" i="2"/>
  <c r="AH306" i="2"/>
  <c r="AG306" i="2"/>
  <c r="AF306" i="2"/>
  <c r="AE306" i="2"/>
  <c r="AD306" i="2"/>
  <c r="AC306" i="2"/>
  <c r="AB306" i="2"/>
  <c r="AA306" i="2"/>
  <c r="X306" i="2"/>
  <c r="T306" i="2"/>
  <c r="R306" i="2"/>
  <c r="Q306" i="2"/>
  <c r="Z306" i="2" s="1"/>
  <c r="O306" i="2"/>
  <c r="N306" i="2"/>
  <c r="M306" i="2"/>
  <c r="L306" i="2"/>
  <c r="K306" i="2"/>
  <c r="H306" i="2"/>
  <c r="F306" i="2"/>
  <c r="E306" i="2"/>
  <c r="BO305" i="2"/>
  <c r="BO304" i="2" s="1"/>
  <c r="Z305" i="2"/>
  <c r="Y305" i="2"/>
  <c r="X305" i="2"/>
  <c r="T305" i="2"/>
  <c r="S305" i="2"/>
  <c r="V305" i="2" s="1"/>
  <c r="R305" i="2"/>
  <c r="Q305" i="2"/>
  <c r="W305" i="2" s="1"/>
  <c r="P305" i="2"/>
  <c r="P304" i="2" s="1"/>
  <c r="Y304" i="2" s="1"/>
  <c r="O305" i="2"/>
  <c r="BN305" i="2" s="1"/>
  <c r="J305" i="2"/>
  <c r="I305" i="2"/>
  <c r="G305" i="2"/>
  <c r="G304" i="2" s="1"/>
  <c r="BM304" i="2"/>
  <c r="BL304" i="2"/>
  <c r="BK304" i="2"/>
  <c r="BJ304" i="2"/>
  <c r="BI304" i="2"/>
  <c r="BH304" i="2"/>
  <c r="BG304" i="2"/>
  <c r="BF304" i="2"/>
  <c r="BE304" i="2"/>
  <c r="BD304" i="2"/>
  <c r="BC304" i="2"/>
  <c r="BB304" i="2"/>
  <c r="BA304" i="2"/>
  <c r="AZ304" i="2"/>
  <c r="AY304" i="2"/>
  <c r="AX304" i="2"/>
  <c r="AW304" i="2"/>
  <c r="AV304" i="2"/>
  <c r="AU304" i="2"/>
  <c r="AT304" i="2"/>
  <c r="AS304" i="2"/>
  <c r="AR304" i="2"/>
  <c r="AQ304" i="2"/>
  <c r="AP304" i="2"/>
  <c r="AO304" i="2"/>
  <c r="AN304" i="2"/>
  <c r="AM304" i="2"/>
  <c r="AL304" i="2"/>
  <c r="AK304" i="2"/>
  <c r="AJ304" i="2"/>
  <c r="AI304" i="2"/>
  <c r="AH304" i="2"/>
  <c r="AG304" i="2"/>
  <c r="AF304" i="2"/>
  <c r="AE304" i="2"/>
  <c r="AD304" i="2"/>
  <c r="AC304" i="2"/>
  <c r="AB304" i="2"/>
  <c r="AA304" i="2"/>
  <c r="X304" i="2"/>
  <c r="T304" i="2"/>
  <c r="R304" i="2"/>
  <c r="Q304" i="2"/>
  <c r="Z304" i="2" s="1"/>
  <c r="O304" i="2"/>
  <c r="N304" i="2"/>
  <c r="M304" i="2"/>
  <c r="L304" i="2"/>
  <c r="K304" i="2"/>
  <c r="H304" i="2"/>
  <c r="F304" i="2"/>
  <c r="E304" i="2"/>
  <c r="BO303" i="2"/>
  <c r="Z303" i="2"/>
  <c r="Y303" i="2"/>
  <c r="X303" i="2"/>
  <c r="T303" i="2"/>
  <c r="S303" i="2"/>
  <c r="V303" i="2" s="1"/>
  <c r="BT303" i="2" s="1"/>
  <c r="R303" i="2"/>
  <c r="Q303" i="2"/>
  <c r="W303" i="2" s="1"/>
  <c r="BR303" i="2" s="1"/>
  <c r="P303" i="2"/>
  <c r="O303" i="2"/>
  <c r="BN303" i="2" s="1"/>
  <c r="BP303" i="2" s="1"/>
  <c r="J303" i="2"/>
  <c r="I303" i="2"/>
  <c r="G303" i="2"/>
  <c r="AM302" i="2"/>
  <c r="O302" i="2" s="1"/>
  <c r="T302" i="2"/>
  <c r="S302" i="2"/>
  <c r="V302" i="2" s="1"/>
  <c r="BT302" i="2" s="1"/>
  <c r="R302" i="2"/>
  <c r="Q302" i="2"/>
  <c r="BO302" i="2" s="1"/>
  <c r="P302" i="2"/>
  <c r="G302" i="2"/>
  <c r="J302" i="2" s="1"/>
  <c r="BO301" i="2"/>
  <c r="Z301" i="2"/>
  <c r="Y301" i="2"/>
  <c r="X301" i="2"/>
  <c r="T301" i="2"/>
  <c r="S301" i="2"/>
  <c r="V301" i="2" s="1"/>
  <c r="BT301" i="2" s="1"/>
  <c r="R301" i="2"/>
  <c r="Q301" i="2"/>
  <c r="W301" i="2" s="1"/>
  <c r="BR301" i="2" s="1"/>
  <c r="P301" i="2"/>
  <c r="O301" i="2"/>
  <c r="BN301" i="2" s="1"/>
  <c r="BP301" i="2" s="1"/>
  <c r="J301" i="2"/>
  <c r="I301" i="2"/>
  <c r="G301" i="2"/>
  <c r="Z300" i="2"/>
  <c r="Y300" i="2"/>
  <c r="T300" i="2"/>
  <c r="S300" i="2"/>
  <c r="V300" i="2" s="1"/>
  <c r="BT300" i="2" s="1"/>
  <c r="R300" i="2"/>
  <c r="Q300" i="2"/>
  <c r="W300" i="2" s="1"/>
  <c r="BR300" i="2" s="1"/>
  <c r="P300" i="2"/>
  <c r="O300" i="2"/>
  <c r="BN300" i="2" s="1"/>
  <c r="J300" i="2"/>
  <c r="G300" i="2"/>
  <c r="I300" i="2" s="1"/>
  <c r="BT299" i="2"/>
  <c r="BO299" i="2"/>
  <c r="Z299" i="2"/>
  <c r="V299" i="2"/>
  <c r="T299" i="2"/>
  <c r="S299" i="2"/>
  <c r="R299" i="2"/>
  <c r="Q299" i="2"/>
  <c r="W299" i="2" s="1"/>
  <c r="BR299" i="2" s="1"/>
  <c r="P299" i="2"/>
  <c r="Y299" i="2" s="1"/>
  <c r="O299" i="2"/>
  <c r="X299" i="2" s="1"/>
  <c r="G299" i="2"/>
  <c r="J299" i="2" s="1"/>
  <c r="BO298" i="2"/>
  <c r="V298" i="2"/>
  <c r="BT298" i="2" s="1"/>
  <c r="T298" i="2"/>
  <c r="S298" i="2"/>
  <c r="R298" i="2"/>
  <c r="Q298" i="2"/>
  <c r="W298" i="2" s="1"/>
  <c r="BR298" i="2" s="1"/>
  <c r="P298" i="2"/>
  <c r="Y298" i="2" s="1"/>
  <c r="O298" i="2"/>
  <c r="X298" i="2" s="1"/>
  <c r="I298" i="2"/>
  <c r="G298" i="2"/>
  <c r="X297" i="2"/>
  <c r="W297" i="2"/>
  <c r="BR297" i="2" s="1"/>
  <c r="V297" i="2"/>
  <c r="BT297" i="2" s="1"/>
  <c r="T297" i="2"/>
  <c r="T295" i="2" s="1"/>
  <c r="S297" i="2"/>
  <c r="R297" i="2"/>
  <c r="Q297" i="2"/>
  <c r="P297" i="2"/>
  <c r="Y297" i="2" s="1"/>
  <c r="O297" i="2"/>
  <c r="BN297" i="2" s="1"/>
  <c r="J297" i="2"/>
  <c r="G297" i="2"/>
  <c r="I297" i="2" s="1"/>
  <c r="Y296" i="2"/>
  <c r="X296" i="2"/>
  <c r="T296" i="2"/>
  <c r="S296" i="2"/>
  <c r="V296" i="2" s="1"/>
  <c r="BT296" i="2" s="1"/>
  <c r="BT295" i="2" s="1"/>
  <c r="R296" i="2"/>
  <c r="R295" i="2" s="1"/>
  <c r="Q296" i="2"/>
  <c r="Z296" i="2" s="1"/>
  <c r="P296" i="2"/>
  <c r="O296" i="2"/>
  <c r="BN296" i="2" s="1"/>
  <c r="G296" i="2"/>
  <c r="BM295" i="2"/>
  <c r="BL295" i="2"/>
  <c r="BK295" i="2"/>
  <c r="BJ295" i="2"/>
  <c r="BI295" i="2"/>
  <c r="BH295" i="2"/>
  <c r="BG295" i="2"/>
  <c r="BF295" i="2"/>
  <c r="BE295" i="2"/>
  <c r="BD295" i="2"/>
  <c r="BC295" i="2"/>
  <c r="BB295" i="2"/>
  <c r="BA295" i="2"/>
  <c r="AZ295" i="2"/>
  <c r="AY295" i="2"/>
  <c r="AX295" i="2"/>
  <c r="AW295" i="2"/>
  <c r="AV295" i="2"/>
  <c r="AU295" i="2"/>
  <c r="AT295" i="2"/>
  <c r="AS295" i="2"/>
  <c r="AR295" i="2"/>
  <c r="AQ295" i="2"/>
  <c r="AP295" i="2"/>
  <c r="AO295" i="2"/>
  <c r="AN295" i="2"/>
  <c r="AL295" i="2"/>
  <c r="AK295" i="2"/>
  <c r="AJ295" i="2"/>
  <c r="AI295" i="2"/>
  <c r="AH295" i="2"/>
  <c r="AG295" i="2"/>
  <c r="AF295" i="2"/>
  <c r="AE295" i="2"/>
  <c r="AD295" i="2"/>
  <c r="AC295" i="2"/>
  <c r="AB295" i="2"/>
  <c r="AA295" i="2"/>
  <c r="P295" i="2"/>
  <c r="Y295" i="2" s="1"/>
  <c r="N295" i="2"/>
  <c r="M295" i="2"/>
  <c r="L295" i="2"/>
  <c r="K295" i="2"/>
  <c r="H295" i="2"/>
  <c r="F295" i="2"/>
  <c r="E295" i="2"/>
  <c r="Y294" i="2"/>
  <c r="X294" i="2"/>
  <c r="T294" i="2"/>
  <c r="S294" i="2"/>
  <c r="V294" i="2" s="1"/>
  <c r="BT294" i="2" s="1"/>
  <c r="R294" i="2"/>
  <c r="Q294" i="2"/>
  <c r="Z294" i="2" s="1"/>
  <c r="P294" i="2"/>
  <c r="O294" i="2"/>
  <c r="BN294" i="2" s="1"/>
  <c r="L294" i="2"/>
  <c r="J294" i="2"/>
  <c r="I294" i="2"/>
  <c r="G294" i="2"/>
  <c r="Z293" i="2"/>
  <c r="Y293" i="2"/>
  <c r="T293" i="2"/>
  <c r="T292" i="2" s="1"/>
  <c r="S293" i="2"/>
  <c r="V293" i="2" s="1"/>
  <c r="R293" i="2"/>
  <c r="Q293" i="2"/>
  <c r="W293" i="2" s="1"/>
  <c r="P293" i="2"/>
  <c r="O293" i="2"/>
  <c r="BN293" i="2" s="1"/>
  <c r="J293" i="2"/>
  <c r="I293" i="2"/>
  <c r="G293" i="2"/>
  <c r="BM292" i="2"/>
  <c r="BL292" i="2"/>
  <c r="BK292" i="2"/>
  <c r="BJ292" i="2"/>
  <c r="BI292" i="2"/>
  <c r="BH292" i="2"/>
  <c r="BG292" i="2"/>
  <c r="BF292" i="2"/>
  <c r="BE292" i="2"/>
  <c r="BD292" i="2"/>
  <c r="BC292" i="2"/>
  <c r="BB292" i="2"/>
  <c r="BA292" i="2"/>
  <c r="AZ292" i="2"/>
  <c r="AY292" i="2"/>
  <c r="AX292" i="2"/>
  <c r="AW292" i="2"/>
  <c r="AV292" i="2"/>
  <c r="AU292" i="2"/>
  <c r="AT292" i="2"/>
  <c r="AS292" i="2"/>
  <c r="AR292" i="2"/>
  <c r="AQ292" i="2"/>
  <c r="AP292" i="2"/>
  <c r="AO292" i="2"/>
  <c r="AN292" i="2"/>
  <c r="AM292" i="2"/>
  <c r="AL292" i="2"/>
  <c r="AK292" i="2"/>
  <c r="AJ292" i="2"/>
  <c r="AI292" i="2"/>
  <c r="AH292" i="2"/>
  <c r="AG292" i="2"/>
  <c r="AF292" i="2"/>
  <c r="AE292" i="2"/>
  <c r="AD292" i="2"/>
  <c r="AC292" i="2"/>
  <c r="AB292" i="2"/>
  <c r="AA292" i="2"/>
  <c r="X292" i="2"/>
  <c r="S292" i="2"/>
  <c r="R292" i="2"/>
  <c r="P292" i="2"/>
  <c r="O292" i="2"/>
  <c r="N292" i="2"/>
  <c r="M292" i="2"/>
  <c r="L292" i="2"/>
  <c r="Y292" i="2" s="1"/>
  <c r="K292" i="2"/>
  <c r="I292" i="2"/>
  <c r="H292" i="2"/>
  <c r="G292" i="2"/>
  <c r="J292" i="2" s="1"/>
  <c r="F292" i="2"/>
  <c r="E292" i="2"/>
  <c r="Z291" i="2"/>
  <c r="Y291" i="2"/>
  <c r="T291" i="2"/>
  <c r="T290" i="2" s="1"/>
  <c r="S291" i="2"/>
  <c r="V291" i="2" s="1"/>
  <c r="R291" i="2"/>
  <c r="Q291" i="2"/>
  <c r="W291" i="2" s="1"/>
  <c r="P291" i="2"/>
  <c r="O291" i="2"/>
  <c r="BN291" i="2" s="1"/>
  <c r="J291" i="2"/>
  <c r="I291" i="2"/>
  <c r="G291" i="2"/>
  <c r="BM290" i="2"/>
  <c r="BL290" i="2"/>
  <c r="BK290" i="2"/>
  <c r="BJ290" i="2"/>
  <c r="BI290" i="2"/>
  <c r="BH290" i="2"/>
  <c r="BG290" i="2"/>
  <c r="BF290" i="2"/>
  <c r="BE290" i="2"/>
  <c r="BD290" i="2"/>
  <c r="BC290" i="2"/>
  <c r="BB290" i="2"/>
  <c r="BA290" i="2"/>
  <c r="AZ290" i="2"/>
  <c r="AY290" i="2"/>
  <c r="AX290" i="2"/>
  <c r="AW290" i="2"/>
  <c r="AV290" i="2"/>
  <c r="AU290" i="2"/>
  <c r="AT290" i="2"/>
  <c r="AS290" i="2"/>
  <c r="AR290" i="2"/>
  <c r="AQ290" i="2"/>
  <c r="AP290" i="2"/>
  <c r="AO290" i="2"/>
  <c r="AN290" i="2"/>
  <c r="AM290" i="2"/>
  <c r="AL290" i="2"/>
  <c r="AK290" i="2"/>
  <c r="AJ290" i="2"/>
  <c r="AI290" i="2"/>
  <c r="AH290" i="2"/>
  <c r="AG290" i="2"/>
  <c r="AF290" i="2"/>
  <c r="AE290" i="2"/>
  <c r="AD290" i="2"/>
  <c r="AC290" i="2"/>
  <c r="AB290" i="2"/>
  <c r="AA290" i="2"/>
  <c r="Y290" i="2"/>
  <c r="X290" i="2"/>
  <c r="S290" i="2"/>
  <c r="R290" i="2"/>
  <c r="P290" i="2"/>
  <c r="O290" i="2"/>
  <c r="N290" i="2"/>
  <c r="M290" i="2"/>
  <c r="L290" i="2"/>
  <c r="K290" i="2"/>
  <c r="I290" i="2"/>
  <c r="H290" i="2"/>
  <c r="G290" i="2"/>
  <c r="J290" i="2" s="1"/>
  <c r="F290" i="2"/>
  <c r="E290" i="2"/>
  <c r="Z289" i="2"/>
  <c r="Y289" i="2"/>
  <c r="T289" i="2"/>
  <c r="S289" i="2"/>
  <c r="V289" i="2" s="1"/>
  <c r="BT289" i="2" s="1"/>
  <c r="R289" i="2"/>
  <c r="Q289" i="2"/>
  <c r="W289" i="2" s="1"/>
  <c r="BR289" i="2" s="1"/>
  <c r="P289" i="2"/>
  <c r="O289" i="2"/>
  <c r="BN289" i="2" s="1"/>
  <c r="J289" i="2"/>
  <c r="G289" i="2"/>
  <c r="I289" i="2" s="1"/>
  <c r="BT288" i="2"/>
  <c r="BO288" i="2"/>
  <c r="Z288" i="2"/>
  <c r="V288" i="2"/>
  <c r="T288" i="2"/>
  <c r="S288" i="2"/>
  <c r="R288" i="2"/>
  <c r="Q288" i="2"/>
  <c r="W288" i="2" s="1"/>
  <c r="BR288" i="2" s="1"/>
  <c r="P288" i="2"/>
  <c r="Y288" i="2" s="1"/>
  <c r="O288" i="2"/>
  <c r="X288" i="2" s="1"/>
  <c r="G288" i="2"/>
  <c r="J288" i="2" s="1"/>
  <c r="BO287" i="2"/>
  <c r="V287" i="2"/>
  <c r="BT287" i="2" s="1"/>
  <c r="T287" i="2"/>
  <c r="S287" i="2"/>
  <c r="R287" i="2"/>
  <c r="Q287" i="2"/>
  <c r="W287" i="2" s="1"/>
  <c r="BR287" i="2" s="1"/>
  <c r="P287" i="2"/>
  <c r="Y287" i="2" s="1"/>
  <c r="O287" i="2"/>
  <c r="X287" i="2" s="1"/>
  <c r="J287" i="2"/>
  <c r="I287" i="2"/>
  <c r="G287" i="2"/>
  <c r="X286" i="2"/>
  <c r="W286" i="2"/>
  <c r="BR286" i="2" s="1"/>
  <c r="V286" i="2"/>
  <c r="BT286" i="2" s="1"/>
  <c r="T286" i="2"/>
  <c r="S286" i="2"/>
  <c r="R286" i="2"/>
  <c r="Q286" i="2"/>
  <c r="P286" i="2"/>
  <c r="Y286" i="2" s="1"/>
  <c r="O286" i="2"/>
  <c r="BN286" i="2" s="1"/>
  <c r="J286" i="2"/>
  <c r="G286" i="2"/>
  <c r="I286" i="2" s="1"/>
  <c r="Y285" i="2"/>
  <c r="X285" i="2"/>
  <c r="T285" i="2"/>
  <c r="S285" i="2"/>
  <c r="V285" i="2" s="1"/>
  <c r="BT285" i="2" s="1"/>
  <c r="R285" i="2"/>
  <c r="Q285" i="2"/>
  <c r="Z285" i="2" s="1"/>
  <c r="P285" i="2"/>
  <c r="O285" i="2"/>
  <c r="BN285" i="2" s="1"/>
  <c r="G285" i="2"/>
  <c r="BO284" i="2"/>
  <c r="Z284" i="2"/>
  <c r="Y284" i="2"/>
  <c r="X284" i="2"/>
  <c r="T284" i="2"/>
  <c r="S284" i="2"/>
  <c r="S282" i="2" s="1"/>
  <c r="R284" i="2"/>
  <c r="Q284" i="2"/>
  <c r="W284" i="2" s="1"/>
  <c r="BR284" i="2" s="1"/>
  <c r="P284" i="2"/>
  <c r="P282" i="2" s="1"/>
  <c r="Y282" i="2" s="1"/>
  <c r="O284" i="2"/>
  <c r="BN284" i="2" s="1"/>
  <c r="J284" i="2"/>
  <c r="I284" i="2"/>
  <c r="G284" i="2"/>
  <c r="Y283" i="2"/>
  <c r="W283" i="2"/>
  <c r="T283" i="2"/>
  <c r="T282" i="2" s="1"/>
  <c r="S283" i="2"/>
  <c r="V283" i="2" s="1"/>
  <c r="R283" i="2"/>
  <c r="Q283" i="2"/>
  <c r="P283" i="2"/>
  <c r="O283" i="2"/>
  <c r="BN283" i="2" s="1"/>
  <c r="J283" i="2"/>
  <c r="I283" i="2"/>
  <c r="G283" i="2"/>
  <c r="BM282" i="2"/>
  <c r="BL282" i="2"/>
  <c r="BK282" i="2"/>
  <c r="BJ282" i="2"/>
  <c r="BI282" i="2"/>
  <c r="BH282" i="2"/>
  <c r="BG282" i="2"/>
  <c r="BF282" i="2"/>
  <c r="BE282" i="2"/>
  <c r="BD282" i="2"/>
  <c r="BC282" i="2"/>
  <c r="BB282" i="2"/>
  <c r="BA282" i="2"/>
  <c r="AZ282" i="2"/>
  <c r="AY282" i="2"/>
  <c r="AX282" i="2"/>
  <c r="AW282" i="2"/>
  <c r="AV282" i="2"/>
  <c r="AU282" i="2"/>
  <c r="AT282" i="2"/>
  <c r="AS282" i="2"/>
  <c r="AR282" i="2"/>
  <c r="AQ282" i="2"/>
  <c r="AP282" i="2"/>
  <c r="AO282" i="2"/>
  <c r="AN282" i="2"/>
  <c r="AM282" i="2"/>
  <c r="AL282" i="2"/>
  <c r="AK282" i="2"/>
  <c r="AJ282" i="2"/>
  <c r="AI282" i="2"/>
  <c r="AH282" i="2"/>
  <c r="AG282" i="2"/>
  <c r="AF282" i="2"/>
  <c r="AE282" i="2"/>
  <c r="AD282" i="2"/>
  <c r="AC282" i="2"/>
  <c r="AB282" i="2"/>
  <c r="AA282" i="2"/>
  <c r="R282" i="2"/>
  <c r="N282" i="2"/>
  <c r="M282" i="2"/>
  <c r="L282" i="2"/>
  <c r="K282" i="2"/>
  <c r="H282" i="2"/>
  <c r="F282" i="2"/>
  <c r="E282" i="2"/>
  <c r="AM281" i="2"/>
  <c r="O281" i="2" s="1"/>
  <c r="AJ281" i="2"/>
  <c r="Y281" i="2"/>
  <c r="T281" i="2"/>
  <c r="S281" i="2"/>
  <c r="S279" i="2" s="1"/>
  <c r="Q281" i="2"/>
  <c r="BO281" i="2" s="1"/>
  <c r="P281" i="2"/>
  <c r="P279" i="2" s="1"/>
  <c r="Y279" i="2" s="1"/>
  <c r="J281" i="2"/>
  <c r="I281" i="2"/>
  <c r="G281" i="2"/>
  <c r="X280" i="2"/>
  <c r="W280" i="2"/>
  <c r="V280" i="2"/>
  <c r="BT280" i="2" s="1"/>
  <c r="T280" i="2"/>
  <c r="T279" i="2" s="1"/>
  <c r="S280" i="2"/>
  <c r="R280" i="2"/>
  <c r="Q280" i="2"/>
  <c r="P280" i="2"/>
  <c r="Y280" i="2" s="1"/>
  <c r="O280" i="2"/>
  <c r="BN280" i="2" s="1"/>
  <c r="J280" i="2"/>
  <c r="G280" i="2"/>
  <c r="I280" i="2" s="1"/>
  <c r="BM279" i="2"/>
  <c r="BL279" i="2"/>
  <c r="BK279" i="2"/>
  <c r="BJ279" i="2"/>
  <c r="BI279" i="2"/>
  <c r="BH279" i="2"/>
  <c r="BG279" i="2"/>
  <c r="BF279" i="2"/>
  <c r="BE279" i="2"/>
  <c r="BD279" i="2"/>
  <c r="BC279" i="2"/>
  <c r="BB279" i="2"/>
  <c r="BA279" i="2"/>
  <c r="AZ279" i="2"/>
  <c r="AY279" i="2"/>
  <c r="AX279" i="2"/>
  <c r="AW279" i="2"/>
  <c r="AV279" i="2"/>
  <c r="AU279" i="2"/>
  <c r="AT279" i="2"/>
  <c r="AS279" i="2"/>
  <c r="AR279" i="2"/>
  <c r="AQ279" i="2"/>
  <c r="AP279" i="2"/>
  <c r="AO279" i="2"/>
  <c r="AN279" i="2"/>
  <c r="AM279" i="2"/>
  <c r="AL279" i="2"/>
  <c r="AK279" i="2"/>
  <c r="AJ279" i="2"/>
  <c r="AI279" i="2"/>
  <c r="AH279" i="2"/>
  <c r="AG279" i="2"/>
  <c r="AF279" i="2"/>
  <c r="AE279" i="2"/>
  <c r="AD279" i="2"/>
  <c r="AC279" i="2"/>
  <c r="AB279" i="2"/>
  <c r="AA279" i="2"/>
  <c r="X279" i="2"/>
  <c r="O279" i="2"/>
  <c r="N279" i="2"/>
  <c r="M279" i="2"/>
  <c r="L279" i="2"/>
  <c r="K279" i="2"/>
  <c r="H279" i="2"/>
  <c r="F279" i="2"/>
  <c r="E279" i="2"/>
  <c r="BP278" i="2"/>
  <c r="Z278" i="2"/>
  <c r="X278" i="2"/>
  <c r="W278" i="2"/>
  <c r="BR278" i="2" s="1"/>
  <c r="V278" i="2"/>
  <c r="BT278" i="2" s="1"/>
  <c r="T278" i="2"/>
  <c r="S278" i="2"/>
  <c r="R278" i="2"/>
  <c r="Q278" i="2"/>
  <c r="BO278" i="2" s="1"/>
  <c r="P278" i="2"/>
  <c r="Y278" i="2" s="1"/>
  <c r="O278" i="2"/>
  <c r="BN278" i="2" s="1"/>
  <c r="J278" i="2"/>
  <c r="G278" i="2"/>
  <c r="I278" i="2" s="1"/>
  <c r="BN277" i="2"/>
  <c r="BP277" i="2" s="1"/>
  <c r="BU277" i="2" s="1"/>
  <c r="AP277" i="2"/>
  <c r="Z277" i="2"/>
  <c r="X277" i="2"/>
  <c r="T277" i="2"/>
  <c r="S277" i="2"/>
  <c r="V277" i="2" s="1"/>
  <c r="BT277" i="2" s="1"/>
  <c r="R277" i="2"/>
  <c r="Q277" i="2"/>
  <c r="BO277" i="2" s="1"/>
  <c r="P277" i="2"/>
  <c r="P274" i="2" s="1"/>
  <c r="O277" i="2"/>
  <c r="U277" i="2" s="1"/>
  <c r="BQ277" i="2" s="1"/>
  <c r="J277" i="2"/>
  <c r="I277" i="2"/>
  <c r="G277" i="2"/>
  <c r="BN276" i="2"/>
  <c r="Z276" i="2"/>
  <c r="Y276" i="2"/>
  <c r="W276" i="2"/>
  <c r="BR276" i="2" s="1"/>
  <c r="T276" i="2"/>
  <c r="T274" i="2" s="1"/>
  <c r="S276" i="2"/>
  <c r="V276" i="2" s="1"/>
  <c r="BT276" i="2" s="1"/>
  <c r="R276" i="2"/>
  <c r="Q276" i="2"/>
  <c r="P276" i="2"/>
  <c r="O276" i="2"/>
  <c r="X276" i="2" s="1"/>
  <c r="J276" i="2"/>
  <c r="I276" i="2"/>
  <c r="G276" i="2"/>
  <c r="BT275" i="2"/>
  <c r="BT274" i="2" s="1"/>
  <c r="BO275" i="2"/>
  <c r="AP275" i="2"/>
  <c r="AM275" i="2"/>
  <c r="AG275" i="2"/>
  <c r="AG274" i="2" s="1"/>
  <c r="AG273" i="2" s="1"/>
  <c r="AG272" i="2" s="1"/>
  <c r="Y275" i="2"/>
  <c r="T275" i="2"/>
  <c r="S275" i="2"/>
  <c r="V275" i="2" s="1"/>
  <c r="R275" i="2"/>
  <c r="R274" i="2" s="1"/>
  <c r="Q275" i="2"/>
  <c r="Z275" i="2" s="1"/>
  <c r="P275" i="2"/>
  <c r="K275" i="2"/>
  <c r="I275" i="2"/>
  <c r="G275" i="2"/>
  <c r="E275" i="2"/>
  <c r="BM274" i="2"/>
  <c r="BL274" i="2"/>
  <c r="BK274" i="2"/>
  <c r="BK273" i="2" s="1"/>
  <c r="BJ274" i="2"/>
  <c r="BI274" i="2"/>
  <c r="BI273" i="2" s="1"/>
  <c r="BH274" i="2"/>
  <c r="BH273" i="2" s="1"/>
  <c r="BH272" i="2" s="1"/>
  <c r="BH271" i="2" s="1"/>
  <c r="BG274" i="2"/>
  <c r="BF274" i="2"/>
  <c r="BE274" i="2"/>
  <c r="BE273" i="2" s="1"/>
  <c r="BD274" i="2"/>
  <c r="BC274" i="2"/>
  <c r="BC273" i="2" s="1"/>
  <c r="BB274" i="2"/>
  <c r="BB273" i="2" s="1"/>
  <c r="BB272" i="2" s="1"/>
  <c r="BB271" i="2" s="1"/>
  <c r="BA274" i="2"/>
  <c r="AZ274" i="2"/>
  <c r="AY274" i="2"/>
  <c r="AY273" i="2" s="1"/>
  <c r="AX274" i="2"/>
  <c r="AW274" i="2"/>
  <c r="AW273" i="2" s="1"/>
  <c r="AV274" i="2"/>
  <c r="AU274" i="2"/>
  <c r="AT274" i="2"/>
  <c r="AS274" i="2"/>
  <c r="AS273" i="2" s="1"/>
  <c r="AR274" i="2"/>
  <c r="AQ274" i="2"/>
  <c r="AQ273" i="2" s="1"/>
  <c r="AP274" i="2"/>
  <c r="AP273" i="2" s="1"/>
  <c r="AP272" i="2" s="1"/>
  <c r="AP271" i="2" s="1"/>
  <c r="AO274" i="2"/>
  <c r="AN274" i="2"/>
  <c r="AM274" i="2"/>
  <c r="AL274" i="2"/>
  <c r="AK274" i="2"/>
  <c r="AK273" i="2" s="1"/>
  <c r="AJ274" i="2"/>
  <c r="AJ273" i="2" s="1"/>
  <c r="AJ272" i="2" s="1"/>
  <c r="AJ271" i="2" s="1"/>
  <c r="AI274" i="2"/>
  <c r="AH274" i="2"/>
  <c r="AF274" i="2"/>
  <c r="AE274" i="2"/>
  <c r="AE273" i="2" s="1"/>
  <c r="AD274" i="2"/>
  <c r="AC274" i="2"/>
  <c r="AB274" i="2"/>
  <c r="AA274" i="2"/>
  <c r="AA273" i="2" s="1"/>
  <c r="Y274" i="2"/>
  <c r="N274" i="2"/>
  <c r="M274" i="2"/>
  <c r="M273" i="2" s="1"/>
  <c r="L274" i="2"/>
  <c r="K274" i="2"/>
  <c r="H274" i="2"/>
  <c r="G274" i="2"/>
  <c r="F274" i="2"/>
  <c r="F273" i="2" s="1"/>
  <c r="E274" i="2"/>
  <c r="BM273" i="2"/>
  <c r="BL273" i="2"/>
  <c r="BJ273" i="2"/>
  <c r="BG273" i="2"/>
  <c r="BF273" i="2"/>
  <c r="BD273" i="2"/>
  <c r="BD272" i="2" s="1"/>
  <c r="BA273" i="2"/>
  <c r="AZ273" i="2"/>
  <c r="AX273" i="2"/>
  <c r="AX272" i="2" s="1"/>
  <c r="AV273" i="2"/>
  <c r="AV272" i="2" s="1"/>
  <c r="AU273" i="2"/>
  <c r="AT273" i="2"/>
  <c r="AR273" i="2"/>
  <c r="AO273" i="2"/>
  <c r="AN273" i="2"/>
  <c r="AL273" i="2"/>
  <c r="AL272" i="2" s="1"/>
  <c r="AI273" i="2"/>
  <c r="AH273" i="2"/>
  <c r="AF273" i="2"/>
  <c r="AF272" i="2" s="1"/>
  <c r="AD273" i="2"/>
  <c r="AD272" i="2" s="1"/>
  <c r="AD271" i="2" s="1"/>
  <c r="AC273" i="2"/>
  <c r="AB273" i="2"/>
  <c r="T273" i="2"/>
  <c r="N273" i="2"/>
  <c r="L273" i="2"/>
  <c r="K273" i="2"/>
  <c r="H273" i="2"/>
  <c r="E273" i="2"/>
  <c r="BE272" i="2"/>
  <c r="AY272" i="2"/>
  <c r="AV271" i="2"/>
  <c r="BO269" i="2"/>
  <c r="Z269" i="2"/>
  <c r="V269" i="2"/>
  <c r="BT269" i="2" s="1"/>
  <c r="T269" i="2"/>
  <c r="S269" i="2"/>
  <c r="R269" i="2"/>
  <c r="Q269" i="2"/>
  <c r="W269" i="2" s="1"/>
  <c r="BR269" i="2" s="1"/>
  <c r="P269" i="2"/>
  <c r="Y269" i="2" s="1"/>
  <c r="O269" i="2"/>
  <c r="X269" i="2" s="1"/>
  <c r="J269" i="2"/>
  <c r="I269" i="2"/>
  <c r="BO268" i="2"/>
  <c r="BN268" i="2"/>
  <c r="BP268" i="2" s="1"/>
  <c r="Z268" i="2"/>
  <c r="Y268" i="2"/>
  <c r="T268" i="2"/>
  <c r="S268" i="2"/>
  <c r="V268" i="2" s="1"/>
  <c r="BT268" i="2" s="1"/>
  <c r="R268" i="2"/>
  <c r="Q268" i="2"/>
  <c r="P268" i="2"/>
  <c r="O268" i="2"/>
  <c r="U268" i="2" s="1"/>
  <c r="BQ268" i="2" s="1"/>
  <c r="BS268" i="2" s="1"/>
  <c r="BV268" i="2" s="1"/>
  <c r="N268" i="2"/>
  <c r="W268" i="2" s="1"/>
  <c r="BR268" i="2" s="1"/>
  <c r="J268" i="2"/>
  <c r="I268" i="2"/>
  <c r="V267" i="2"/>
  <c r="BT267" i="2" s="1"/>
  <c r="T267" i="2"/>
  <c r="S267" i="2"/>
  <c r="R267" i="2"/>
  <c r="Q267" i="2"/>
  <c r="Z267" i="2" s="1"/>
  <c r="P267" i="2"/>
  <c r="Y267" i="2" s="1"/>
  <c r="O267" i="2"/>
  <c r="X267" i="2" s="1"/>
  <c r="J267" i="2"/>
  <c r="I267" i="2"/>
  <c r="G267" i="2"/>
  <c r="BO266" i="2"/>
  <c r="V266" i="2"/>
  <c r="BT266" i="2" s="1"/>
  <c r="T266" i="2"/>
  <c r="S266" i="2"/>
  <c r="R266" i="2"/>
  <c r="R264" i="2" s="1"/>
  <c r="Q266" i="2"/>
  <c r="Z266" i="2" s="1"/>
  <c r="P266" i="2"/>
  <c r="Y266" i="2" s="1"/>
  <c r="O266" i="2"/>
  <c r="X266" i="2" s="1"/>
  <c r="N266" i="2"/>
  <c r="G266" i="2"/>
  <c r="J266" i="2" s="1"/>
  <c r="BO265" i="2"/>
  <c r="Z265" i="2"/>
  <c r="V265" i="2"/>
  <c r="BT265" i="2" s="1"/>
  <c r="T265" i="2"/>
  <c r="S265" i="2"/>
  <c r="R265" i="2"/>
  <c r="Q265" i="2"/>
  <c r="Q264" i="2" s="1"/>
  <c r="Z264" i="2" s="1"/>
  <c r="P265" i="2"/>
  <c r="P264" i="2" s="1"/>
  <c r="Y264" i="2" s="1"/>
  <c r="O265" i="2"/>
  <c r="BN265" i="2" s="1"/>
  <c r="BP265" i="2" s="1"/>
  <c r="N265" i="2"/>
  <c r="W265" i="2" s="1"/>
  <c r="G265" i="2"/>
  <c r="I265" i="2" s="1"/>
  <c r="BM264" i="2"/>
  <c r="BL264" i="2"/>
  <c r="BK264" i="2"/>
  <c r="BJ264" i="2"/>
  <c r="BI264" i="2"/>
  <c r="BH264" i="2"/>
  <c r="BG264" i="2"/>
  <c r="BF264" i="2"/>
  <c r="BE264" i="2"/>
  <c r="BD264" i="2"/>
  <c r="BC264" i="2"/>
  <c r="BB264" i="2"/>
  <c r="BA264" i="2"/>
  <c r="AZ264" i="2"/>
  <c r="AY264" i="2"/>
  <c r="AX264" i="2"/>
  <c r="AW264" i="2"/>
  <c r="AV264" i="2"/>
  <c r="AU264" i="2"/>
  <c r="AT264" i="2"/>
  <c r="AS264" i="2"/>
  <c r="AR264" i="2"/>
  <c r="AQ264" i="2"/>
  <c r="AP264" i="2"/>
  <c r="AO264" i="2"/>
  <c r="AN264" i="2"/>
  <c r="AM264" i="2"/>
  <c r="AL264" i="2"/>
  <c r="AK264" i="2"/>
  <c r="AJ264" i="2"/>
  <c r="AI264" i="2"/>
  <c r="AH264" i="2"/>
  <c r="AG264" i="2"/>
  <c r="AF264" i="2"/>
  <c r="AE264" i="2"/>
  <c r="AD264" i="2"/>
  <c r="AC264" i="2"/>
  <c r="AB264" i="2"/>
  <c r="AA264" i="2"/>
  <c r="T264" i="2"/>
  <c r="S264" i="2"/>
  <c r="N264" i="2"/>
  <c r="M264" i="2"/>
  <c r="L264" i="2"/>
  <c r="K264" i="2"/>
  <c r="H264" i="2"/>
  <c r="G264" i="2"/>
  <c r="J264" i="2" s="1"/>
  <c r="F264" i="2"/>
  <c r="E264" i="2"/>
  <c r="BO263" i="2"/>
  <c r="BO262" i="2" s="1"/>
  <c r="V263" i="2"/>
  <c r="V262" i="2" s="1"/>
  <c r="T263" i="2"/>
  <c r="S263" i="2"/>
  <c r="R263" i="2"/>
  <c r="R262" i="2" s="1"/>
  <c r="Q263" i="2"/>
  <c r="Q262" i="2" s="1"/>
  <c r="Z262" i="2" s="1"/>
  <c r="P263" i="2"/>
  <c r="Y263" i="2" s="1"/>
  <c r="O263" i="2"/>
  <c r="X263" i="2" s="1"/>
  <c r="G263" i="2"/>
  <c r="I263" i="2" s="1"/>
  <c r="BM262" i="2"/>
  <c r="BL262" i="2"/>
  <c r="BK262" i="2"/>
  <c r="BJ262" i="2"/>
  <c r="BI262" i="2"/>
  <c r="BH262" i="2"/>
  <c r="BG262" i="2"/>
  <c r="BF262" i="2"/>
  <c r="BE262" i="2"/>
  <c r="BD262" i="2"/>
  <c r="BC262" i="2"/>
  <c r="BB262" i="2"/>
  <c r="BA262" i="2"/>
  <c r="AZ262" i="2"/>
  <c r="AY262" i="2"/>
  <c r="AX262" i="2"/>
  <c r="AW262" i="2"/>
  <c r="AV262" i="2"/>
  <c r="AU262" i="2"/>
  <c r="AT262" i="2"/>
  <c r="AS262" i="2"/>
  <c r="AR262" i="2"/>
  <c r="AQ262" i="2"/>
  <c r="AP262" i="2"/>
  <c r="AO262" i="2"/>
  <c r="AN262" i="2"/>
  <c r="AM262" i="2"/>
  <c r="AL262" i="2"/>
  <c r="AK262" i="2"/>
  <c r="AJ262" i="2"/>
  <c r="AI262" i="2"/>
  <c r="AH262" i="2"/>
  <c r="AG262" i="2"/>
  <c r="AF262" i="2"/>
  <c r="AE262" i="2"/>
  <c r="AD262" i="2"/>
  <c r="AC262" i="2"/>
  <c r="AB262" i="2"/>
  <c r="AA262" i="2"/>
  <c r="T262" i="2"/>
  <c r="S262" i="2"/>
  <c r="N262" i="2"/>
  <c r="M262" i="2"/>
  <c r="L262" i="2"/>
  <c r="K262" i="2"/>
  <c r="H262" i="2"/>
  <c r="G262" i="2"/>
  <c r="J262" i="2" s="1"/>
  <c r="F262" i="2"/>
  <c r="E262" i="2"/>
  <c r="BO261" i="2"/>
  <c r="BO260" i="2" s="1"/>
  <c r="V261" i="2"/>
  <c r="V260" i="2" s="1"/>
  <c r="T261" i="2"/>
  <c r="S261" i="2"/>
  <c r="R261" i="2"/>
  <c r="R260" i="2" s="1"/>
  <c r="Q261" i="2"/>
  <c r="Q260" i="2" s="1"/>
  <c r="P261" i="2"/>
  <c r="Y261" i="2" s="1"/>
  <c r="O261" i="2"/>
  <c r="X261" i="2" s="1"/>
  <c r="G261" i="2"/>
  <c r="I261" i="2" s="1"/>
  <c r="BM260" i="2"/>
  <c r="BL260" i="2"/>
  <c r="BL259" i="2" s="1"/>
  <c r="BK260" i="2"/>
  <c r="BK259" i="2" s="1"/>
  <c r="BJ260" i="2"/>
  <c r="BJ259" i="2" s="1"/>
  <c r="BJ250" i="2" s="1"/>
  <c r="BI260" i="2"/>
  <c r="BH260" i="2"/>
  <c r="BG260" i="2"/>
  <c r="BF260" i="2"/>
  <c r="BF259" i="2" s="1"/>
  <c r="BE260" i="2"/>
  <c r="BE259" i="2" s="1"/>
  <c r="BD260" i="2"/>
  <c r="BD259" i="2" s="1"/>
  <c r="BD250" i="2" s="1"/>
  <c r="BC260" i="2"/>
  <c r="BB260" i="2"/>
  <c r="BA260" i="2"/>
  <c r="AZ260" i="2"/>
  <c r="AZ259" i="2" s="1"/>
  <c r="AY260" i="2"/>
  <c r="AY259" i="2" s="1"/>
  <c r="AX260" i="2"/>
  <c r="AX259" i="2" s="1"/>
  <c r="AX250" i="2" s="1"/>
  <c r="AW260" i="2"/>
  <c r="AV260" i="2"/>
  <c r="AU260" i="2"/>
  <c r="AT260" i="2"/>
  <c r="AT259" i="2" s="1"/>
  <c r="AS260" i="2"/>
  <c r="AS259" i="2" s="1"/>
  <c r="AR260" i="2"/>
  <c r="AR259" i="2" s="1"/>
  <c r="AR250" i="2" s="1"/>
  <c r="AQ260" i="2"/>
  <c r="AP260" i="2"/>
  <c r="AO260" i="2"/>
  <c r="AN260" i="2"/>
  <c r="AN259" i="2" s="1"/>
  <c r="AM260" i="2"/>
  <c r="AM259" i="2" s="1"/>
  <c r="AL260" i="2"/>
  <c r="AL259" i="2" s="1"/>
  <c r="AL250" i="2" s="1"/>
  <c r="AK260" i="2"/>
  <c r="AJ260" i="2"/>
  <c r="AI260" i="2"/>
  <c r="AH260" i="2"/>
  <c r="AH259" i="2" s="1"/>
  <c r="AG260" i="2"/>
  <c r="AG259" i="2" s="1"/>
  <c r="AF260" i="2"/>
  <c r="AF259" i="2" s="1"/>
  <c r="AF250" i="2" s="1"/>
  <c r="AE260" i="2"/>
  <c r="AD260" i="2"/>
  <c r="AC260" i="2"/>
  <c r="AB260" i="2"/>
  <c r="AB259" i="2" s="1"/>
  <c r="AA260" i="2"/>
  <c r="AA259" i="2" s="1"/>
  <c r="T260" i="2"/>
  <c r="T259" i="2" s="1"/>
  <c r="S260" i="2"/>
  <c r="N260" i="2"/>
  <c r="N259" i="2" s="1"/>
  <c r="N250" i="2" s="1"/>
  <c r="M260" i="2"/>
  <c r="L260" i="2"/>
  <c r="K260" i="2"/>
  <c r="H260" i="2"/>
  <c r="H259" i="2" s="1"/>
  <c r="H250" i="2" s="1"/>
  <c r="G260" i="2"/>
  <c r="J260" i="2" s="1"/>
  <c r="F260" i="2"/>
  <c r="E260" i="2"/>
  <c r="BM259" i="2"/>
  <c r="BI259" i="2"/>
  <c r="BH259" i="2"/>
  <c r="BG259" i="2"/>
  <c r="BC259" i="2"/>
  <c r="BB259" i="2"/>
  <c r="BA259" i="2"/>
  <c r="AW259" i="2"/>
  <c r="AV259" i="2"/>
  <c r="AU259" i="2"/>
  <c r="AQ259" i="2"/>
  <c r="AP259" i="2"/>
  <c r="AO259" i="2"/>
  <c r="AK259" i="2"/>
  <c r="AJ259" i="2"/>
  <c r="AI259" i="2"/>
  <c r="AE259" i="2"/>
  <c r="AD259" i="2"/>
  <c r="AC259" i="2"/>
  <c r="S259" i="2"/>
  <c r="M259" i="2"/>
  <c r="L259" i="2"/>
  <c r="K259" i="2"/>
  <c r="G259" i="2"/>
  <c r="J259" i="2" s="1"/>
  <c r="F259" i="2"/>
  <c r="E259" i="2"/>
  <c r="BT258" i="2"/>
  <c r="BT257" i="2" s="1"/>
  <c r="BO258" i="2"/>
  <c r="Z258" i="2"/>
  <c r="V258" i="2"/>
  <c r="V257" i="2" s="1"/>
  <c r="T258" i="2"/>
  <c r="T257" i="2" s="1"/>
  <c r="S258" i="2"/>
  <c r="R258" i="2"/>
  <c r="Q258" i="2"/>
  <c r="W258" i="2" s="1"/>
  <c r="P258" i="2"/>
  <c r="P257" i="2" s="1"/>
  <c r="Y257" i="2" s="1"/>
  <c r="O258" i="2"/>
  <c r="X258" i="2" s="1"/>
  <c r="J258" i="2"/>
  <c r="I258" i="2"/>
  <c r="G258" i="2"/>
  <c r="BO257" i="2"/>
  <c r="BM257" i="2"/>
  <c r="BL257" i="2"/>
  <c r="BK257" i="2"/>
  <c r="BJ257" i="2"/>
  <c r="BI257" i="2"/>
  <c r="BH257" i="2"/>
  <c r="BH250" i="2" s="1"/>
  <c r="BG257" i="2"/>
  <c r="BF257" i="2"/>
  <c r="BE257" i="2"/>
  <c r="BD257" i="2"/>
  <c r="BC257" i="2"/>
  <c r="BB257" i="2"/>
  <c r="BB250" i="2" s="1"/>
  <c r="BA257" i="2"/>
  <c r="AZ257" i="2"/>
  <c r="AY257" i="2"/>
  <c r="AX257" i="2"/>
  <c r="AW257" i="2"/>
  <c r="AV257" i="2"/>
  <c r="AV250" i="2" s="1"/>
  <c r="AU257" i="2"/>
  <c r="AT257" i="2"/>
  <c r="AS257" i="2"/>
  <c r="AR257" i="2"/>
  <c r="AQ257" i="2"/>
  <c r="AP257" i="2"/>
  <c r="AP250" i="2" s="1"/>
  <c r="AO257" i="2"/>
  <c r="AN257" i="2"/>
  <c r="AM257" i="2"/>
  <c r="AL257" i="2"/>
  <c r="AK257" i="2"/>
  <c r="AJ257" i="2"/>
  <c r="AJ250" i="2" s="1"/>
  <c r="AI257" i="2"/>
  <c r="AH257" i="2"/>
  <c r="AG257" i="2"/>
  <c r="AF257" i="2"/>
  <c r="AE257" i="2"/>
  <c r="AD257" i="2"/>
  <c r="AD250" i="2" s="1"/>
  <c r="AC257" i="2"/>
  <c r="AB257" i="2"/>
  <c r="AA257" i="2"/>
  <c r="S257" i="2"/>
  <c r="R257" i="2"/>
  <c r="N257" i="2"/>
  <c r="M257" i="2"/>
  <c r="L257" i="2"/>
  <c r="L250" i="2" s="1"/>
  <c r="K257" i="2"/>
  <c r="H257" i="2"/>
  <c r="G257" i="2"/>
  <c r="J257" i="2" s="1"/>
  <c r="F257" i="2"/>
  <c r="F250" i="2" s="1"/>
  <c r="E257" i="2"/>
  <c r="BT256" i="2"/>
  <c r="BO256" i="2"/>
  <c r="Z256" i="2"/>
  <c r="V256" i="2"/>
  <c r="T256" i="2"/>
  <c r="S256" i="2"/>
  <c r="R256" i="2"/>
  <c r="Q256" i="2"/>
  <c r="W256" i="2" s="1"/>
  <c r="BR256" i="2" s="1"/>
  <c r="P256" i="2"/>
  <c r="Y256" i="2" s="1"/>
  <c r="O256" i="2"/>
  <c r="X256" i="2" s="1"/>
  <c r="J256" i="2"/>
  <c r="I256" i="2"/>
  <c r="G256" i="2"/>
  <c r="BO255" i="2"/>
  <c r="BO254" i="2" s="1"/>
  <c r="V255" i="2"/>
  <c r="V254" i="2" s="1"/>
  <c r="T255" i="2"/>
  <c r="S255" i="2"/>
  <c r="R255" i="2"/>
  <c r="R254" i="2" s="1"/>
  <c r="Q255" i="2"/>
  <c r="Q254" i="2" s="1"/>
  <c r="Z254" i="2" s="1"/>
  <c r="P255" i="2"/>
  <c r="Y255" i="2" s="1"/>
  <c r="O255" i="2"/>
  <c r="X255" i="2" s="1"/>
  <c r="G255" i="2"/>
  <c r="I255" i="2" s="1"/>
  <c r="BM254" i="2"/>
  <c r="BL254" i="2"/>
  <c r="BK254" i="2"/>
  <c r="BJ254" i="2"/>
  <c r="BI254" i="2"/>
  <c r="BH254" i="2"/>
  <c r="BG254" i="2"/>
  <c r="BF254" i="2"/>
  <c r="BE254" i="2"/>
  <c r="BD254" i="2"/>
  <c r="BC254" i="2"/>
  <c r="BB254" i="2"/>
  <c r="BA254" i="2"/>
  <c r="AZ254" i="2"/>
  <c r="AY254" i="2"/>
  <c r="AX254" i="2"/>
  <c r="AW254" i="2"/>
  <c r="AV254" i="2"/>
  <c r="AU254" i="2"/>
  <c r="AT254" i="2"/>
  <c r="AS254" i="2"/>
  <c r="AR254" i="2"/>
  <c r="AQ254" i="2"/>
  <c r="AP254" i="2"/>
  <c r="AO254" i="2"/>
  <c r="AN254" i="2"/>
  <c r="AM254" i="2"/>
  <c r="AL254" i="2"/>
  <c r="AK254" i="2"/>
  <c r="AJ254" i="2"/>
  <c r="AI254" i="2"/>
  <c r="AH254" i="2"/>
  <c r="AG254" i="2"/>
  <c r="AF254" i="2"/>
  <c r="AE254" i="2"/>
  <c r="AD254" i="2"/>
  <c r="AC254" i="2"/>
  <c r="AB254" i="2"/>
  <c r="AA254" i="2"/>
  <c r="T254" i="2"/>
  <c r="S254" i="2"/>
  <c r="N254" i="2"/>
  <c r="M254" i="2"/>
  <c r="L254" i="2"/>
  <c r="K254" i="2"/>
  <c r="H254" i="2"/>
  <c r="G254" i="2"/>
  <c r="J254" i="2" s="1"/>
  <c r="F254" i="2"/>
  <c r="E254" i="2"/>
  <c r="BO253" i="2"/>
  <c r="V253" i="2"/>
  <c r="BT253" i="2" s="1"/>
  <c r="T253" i="2"/>
  <c r="S253" i="2"/>
  <c r="R253" i="2"/>
  <c r="Q253" i="2"/>
  <c r="W253" i="2" s="1"/>
  <c r="BR253" i="2" s="1"/>
  <c r="P253" i="2"/>
  <c r="Y253" i="2" s="1"/>
  <c r="O253" i="2"/>
  <c r="X253" i="2" s="1"/>
  <c r="G253" i="2"/>
  <c r="I253" i="2" s="1"/>
  <c r="X252" i="2"/>
  <c r="V252" i="2"/>
  <c r="V251" i="2" s="1"/>
  <c r="T252" i="2"/>
  <c r="S252" i="2"/>
  <c r="S251" i="2" s="1"/>
  <c r="S250" i="2" s="1"/>
  <c r="R252" i="2"/>
  <c r="R251" i="2" s="1"/>
  <c r="Q252" i="2"/>
  <c r="Z252" i="2" s="1"/>
  <c r="P252" i="2"/>
  <c r="Y252" i="2" s="1"/>
  <c r="O252" i="2"/>
  <c r="BN252" i="2" s="1"/>
  <c r="G252" i="2"/>
  <c r="J252" i="2" s="1"/>
  <c r="BM251" i="2"/>
  <c r="BM250" i="2" s="1"/>
  <c r="BL251" i="2"/>
  <c r="BL250" i="2" s="1"/>
  <c r="BK251" i="2"/>
  <c r="BK250" i="2" s="1"/>
  <c r="BJ251" i="2"/>
  <c r="BI251" i="2"/>
  <c r="BH251" i="2"/>
  <c r="BG251" i="2"/>
  <c r="BG250" i="2" s="1"/>
  <c r="BF251" i="2"/>
  <c r="BF250" i="2" s="1"/>
  <c r="BE251" i="2"/>
  <c r="BE250" i="2" s="1"/>
  <c r="BD251" i="2"/>
  <c r="BC251" i="2"/>
  <c r="BB251" i="2"/>
  <c r="BA251" i="2"/>
  <c r="BA250" i="2" s="1"/>
  <c r="AZ251" i="2"/>
  <c r="AZ250" i="2" s="1"/>
  <c r="AY251" i="2"/>
  <c r="AY250" i="2" s="1"/>
  <c r="AX251" i="2"/>
  <c r="AW251" i="2"/>
  <c r="AV251" i="2"/>
  <c r="AU251" i="2"/>
  <c r="AU250" i="2" s="1"/>
  <c r="AT251" i="2"/>
  <c r="AT250" i="2" s="1"/>
  <c r="AS251" i="2"/>
  <c r="AS250" i="2" s="1"/>
  <c r="AR251" i="2"/>
  <c r="AQ251" i="2"/>
  <c r="AP251" i="2"/>
  <c r="AO251" i="2"/>
  <c r="AO250" i="2" s="1"/>
  <c r="AN251" i="2"/>
  <c r="AN250" i="2" s="1"/>
  <c r="AM251" i="2"/>
  <c r="AM250" i="2" s="1"/>
  <c r="AL251" i="2"/>
  <c r="AK251" i="2"/>
  <c r="AJ251" i="2"/>
  <c r="AI251" i="2"/>
  <c r="AI250" i="2" s="1"/>
  <c r="AH251" i="2"/>
  <c r="AH250" i="2" s="1"/>
  <c r="AG251" i="2"/>
  <c r="AG250" i="2" s="1"/>
  <c r="AF251" i="2"/>
  <c r="AE251" i="2"/>
  <c r="AD251" i="2"/>
  <c r="AC251" i="2"/>
  <c r="AC250" i="2" s="1"/>
  <c r="AB251" i="2"/>
  <c r="AB250" i="2" s="1"/>
  <c r="AA251" i="2"/>
  <c r="AA250" i="2" s="1"/>
  <c r="T251" i="2"/>
  <c r="O251" i="2"/>
  <c r="X251" i="2" s="1"/>
  <c r="N251" i="2"/>
  <c r="M251" i="2"/>
  <c r="L251" i="2"/>
  <c r="K251" i="2"/>
  <c r="K250" i="2" s="1"/>
  <c r="H251" i="2"/>
  <c r="F251" i="2"/>
  <c r="E251" i="2"/>
  <c r="E250" i="2" s="1"/>
  <c r="BI250" i="2"/>
  <c r="BC250" i="2"/>
  <c r="AW250" i="2"/>
  <c r="AQ250" i="2"/>
  <c r="AK250" i="2"/>
  <c r="AE250" i="2"/>
  <c r="M250" i="2"/>
  <c r="BO249" i="2"/>
  <c r="V249" i="2"/>
  <c r="BT249" i="2" s="1"/>
  <c r="T249" i="2"/>
  <c r="S249" i="2"/>
  <c r="R249" i="2"/>
  <c r="Q249" i="2"/>
  <c r="W249" i="2" s="1"/>
  <c r="BR249" i="2" s="1"/>
  <c r="P249" i="2"/>
  <c r="Y249" i="2" s="1"/>
  <c r="O249" i="2"/>
  <c r="X249" i="2" s="1"/>
  <c r="G249" i="2"/>
  <c r="I249" i="2" s="1"/>
  <c r="X248" i="2"/>
  <c r="V248" i="2"/>
  <c r="BT248" i="2" s="1"/>
  <c r="T248" i="2"/>
  <c r="S248" i="2"/>
  <c r="R248" i="2"/>
  <c r="Q248" i="2"/>
  <c r="Z248" i="2" s="1"/>
  <c r="P248" i="2"/>
  <c r="Y248" i="2" s="1"/>
  <c r="O248" i="2"/>
  <c r="BN248" i="2" s="1"/>
  <c r="G248" i="2"/>
  <c r="J248" i="2" s="1"/>
  <c r="Y247" i="2"/>
  <c r="X247" i="2"/>
  <c r="T247" i="2"/>
  <c r="T246" i="2" s="1"/>
  <c r="S247" i="2"/>
  <c r="S246" i="2" s="1"/>
  <c r="R247" i="2"/>
  <c r="R246" i="2" s="1"/>
  <c r="Q247" i="2"/>
  <c r="Z247" i="2" s="1"/>
  <c r="P247" i="2"/>
  <c r="O247" i="2"/>
  <c r="BN247" i="2" s="1"/>
  <c r="G247" i="2"/>
  <c r="G246" i="2" s="1"/>
  <c r="BM246" i="2"/>
  <c r="BL246" i="2"/>
  <c r="BK246" i="2"/>
  <c r="BJ246" i="2"/>
  <c r="BI246" i="2"/>
  <c r="BH246" i="2"/>
  <c r="BG246" i="2"/>
  <c r="BF246" i="2"/>
  <c r="BE246" i="2"/>
  <c r="BD246" i="2"/>
  <c r="BC246" i="2"/>
  <c r="BB246" i="2"/>
  <c r="BA246" i="2"/>
  <c r="AZ246" i="2"/>
  <c r="AY246" i="2"/>
  <c r="AX246" i="2"/>
  <c r="AW246" i="2"/>
  <c r="AV246" i="2"/>
  <c r="AU246" i="2"/>
  <c r="AT246" i="2"/>
  <c r="AS246" i="2"/>
  <c r="AR246" i="2"/>
  <c r="AQ246" i="2"/>
  <c r="AP246" i="2"/>
  <c r="AO246" i="2"/>
  <c r="AN246" i="2"/>
  <c r="AM246" i="2"/>
  <c r="AL246" i="2"/>
  <c r="AK246" i="2"/>
  <c r="AJ246" i="2"/>
  <c r="AI246" i="2"/>
  <c r="AH246" i="2"/>
  <c r="AG246" i="2"/>
  <c r="AF246" i="2"/>
  <c r="AE246" i="2"/>
  <c r="AD246" i="2"/>
  <c r="AC246" i="2"/>
  <c r="AB246" i="2"/>
  <c r="AA246" i="2"/>
  <c r="P246" i="2"/>
  <c r="Y246" i="2" s="1"/>
  <c r="O246" i="2"/>
  <c r="X246" i="2" s="1"/>
  <c r="N246" i="2"/>
  <c r="M246" i="2"/>
  <c r="L246" i="2"/>
  <c r="K246" i="2"/>
  <c r="H246" i="2"/>
  <c r="F246" i="2"/>
  <c r="E246" i="2"/>
  <c r="Y245" i="2"/>
  <c r="X245" i="2"/>
  <c r="T245" i="2"/>
  <c r="T244" i="2" s="1"/>
  <c r="S245" i="2"/>
  <c r="S244" i="2" s="1"/>
  <c r="S237" i="2" s="1"/>
  <c r="R245" i="2"/>
  <c r="R244" i="2" s="1"/>
  <c r="Q245" i="2"/>
  <c r="Z245" i="2" s="1"/>
  <c r="P245" i="2"/>
  <c r="O245" i="2"/>
  <c r="BN245" i="2" s="1"/>
  <c r="G245" i="2"/>
  <c r="J245" i="2" s="1"/>
  <c r="E245" i="2"/>
  <c r="BM244" i="2"/>
  <c r="BM237" i="2" s="1"/>
  <c r="BL244" i="2"/>
  <c r="BK244" i="2"/>
  <c r="BJ244" i="2"/>
  <c r="BI244" i="2"/>
  <c r="BH244" i="2"/>
  <c r="BG244" i="2"/>
  <c r="BG237" i="2" s="1"/>
  <c r="BF244" i="2"/>
  <c r="BE244" i="2"/>
  <c r="BD244" i="2"/>
  <c r="BC244" i="2"/>
  <c r="BB244" i="2"/>
  <c r="BA244" i="2"/>
  <c r="BA237" i="2" s="1"/>
  <c r="AZ244" i="2"/>
  <c r="AY244" i="2"/>
  <c r="AX244" i="2"/>
  <c r="AW244" i="2"/>
  <c r="AV244" i="2"/>
  <c r="AU244" i="2"/>
  <c r="AU237" i="2" s="1"/>
  <c r="AT244" i="2"/>
  <c r="AS244" i="2"/>
  <c r="AR244" i="2"/>
  <c r="AQ244" i="2"/>
  <c r="AP244" i="2"/>
  <c r="AO244" i="2"/>
  <c r="AO237" i="2" s="1"/>
  <c r="AN244" i="2"/>
  <c r="AM244" i="2"/>
  <c r="AL244" i="2"/>
  <c r="AK244" i="2"/>
  <c r="AJ244" i="2"/>
  <c r="AI244" i="2"/>
  <c r="AI237" i="2" s="1"/>
  <c r="AH244" i="2"/>
  <c r="AG244" i="2"/>
  <c r="AF244" i="2"/>
  <c r="AE244" i="2"/>
  <c r="AD244" i="2"/>
  <c r="AC244" i="2"/>
  <c r="AC237" i="2" s="1"/>
  <c r="AB244" i="2"/>
  <c r="AA244" i="2"/>
  <c r="X244" i="2"/>
  <c r="Q244" i="2"/>
  <c r="Z244" i="2" s="1"/>
  <c r="P244" i="2"/>
  <c r="Y244" i="2" s="1"/>
  <c r="O244" i="2"/>
  <c r="N244" i="2"/>
  <c r="M244" i="2"/>
  <c r="L244" i="2"/>
  <c r="K244" i="2"/>
  <c r="K237" i="2" s="1"/>
  <c r="H244" i="2"/>
  <c r="F244" i="2"/>
  <c r="E244" i="2"/>
  <c r="Z243" i="2"/>
  <c r="Y243" i="2"/>
  <c r="X243" i="2"/>
  <c r="T243" i="2"/>
  <c r="S243" i="2"/>
  <c r="V243" i="2" s="1"/>
  <c r="BT243" i="2" s="1"/>
  <c r="R243" i="2"/>
  <c r="R240" i="2" s="1"/>
  <c r="Q243" i="2"/>
  <c r="BO243" i="2" s="1"/>
  <c r="BO240" i="2" s="1"/>
  <c r="P243" i="2"/>
  <c r="O243" i="2"/>
  <c r="BN243" i="2" s="1"/>
  <c r="BP243" i="2" s="1"/>
  <c r="I243" i="2"/>
  <c r="G243" i="2"/>
  <c r="J243" i="2" s="1"/>
  <c r="BO242" i="2"/>
  <c r="Z242" i="2"/>
  <c r="Y242" i="2"/>
  <c r="T242" i="2"/>
  <c r="S242" i="2"/>
  <c r="V242" i="2" s="1"/>
  <c r="BT242" i="2" s="1"/>
  <c r="R242" i="2"/>
  <c r="Q242" i="2"/>
  <c r="W242" i="2" s="1"/>
  <c r="BR242" i="2" s="1"/>
  <c r="P242" i="2"/>
  <c r="O242" i="2"/>
  <c r="BN242" i="2" s="1"/>
  <c r="BP242" i="2" s="1"/>
  <c r="J242" i="2"/>
  <c r="I242" i="2"/>
  <c r="G242" i="2"/>
  <c r="BT241" i="2"/>
  <c r="BO241" i="2"/>
  <c r="Z241" i="2"/>
  <c r="V241" i="2"/>
  <c r="V240" i="2" s="1"/>
  <c r="T241" i="2"/>
  <c r="S241" i="2"/>
  <c r="R241" i="2"/>
  <c r="Q241" i="2"/>
  <c r="Q240" i="2" s="1"/>
  <c r="Z240" i="2" s="1"/>
  <c r="P241" i="2"/>
  <c r="P240" i="2" s="1"/>
  <c r="Y240" i="2" s="1"/>
  <c r="O241" i="2"/>
  <c r="X241" i="2" s="1"/>
  <c r="E241" i="2"/>
  <c r="G241" i="2" s="1"/>
  <c r="BM240" i="2"/>
  <c r="BL240" i="2"/>
  <c r="BK240" i="2"/>
  <c r="BJ240" i="2"/>
  <c r="BI240" i="2"/>
  <c r="BH240" i="2"/>
  <c r="BG240" i="2"/>
  <c r="BF240" i="2"/>
  <c r="BE240" i="2"/>
  <c r="BD240" i="2"/>
  <c r="BC240" i="2"/>
  <c r="BB240" i="2"/>
  <c r="BA240" i="2"/>
  <c r="AZ240" i="2"/>
  <c r="AY240" i="2"/>
  <c r="AX240" i="2"/>
  <c r="AW240" i="2"/>
  <c r="AV240" i="2"/>
  <c r="AU240" i="2"/>
  <c r="AT240" i="2"/>
  <c r="AS240" i="2"/>
  <c r="AR240" i="2"/>
  <c r="AQ240" i="2"/>
  <c r="AP240" i="2"/>
  <c r="AO240" i="2"/>
  <c r="AN240" i="2"/>
  <c r="AM240" i="2"/>
  <c r="AL240" i="2"/>
  <c r="AK240" i="2"/>
  <c r="AJ240" i="2"/>
  <c r="AI240" i="2"/>
  <c r="AH240" i="2"/>
  <c r="AG240" i="2"/>
  <c r="AF240" i="2"/>
  <c r="AE240" i="2"/>
  <c r="AD240" i="2"/>
  <c r="AC240" i="2"/>
  <c r="AB240" i="2"/>
  <c r="AA240" i="2"/>
  <c r="T240" i="2"/>
  <c r="S240" i="2"/>
  <c r="N240" i="2"/>
  <c r="M240" i="2"/>
  <c r="L240" i="2"/>
  <c r="K240" i="2"/>
  <c r="H240" i="2"/>
  <c r="F240" i="2"/>
  <c r="BO239" i="2"/>
  <c r="BO238" i="2" s="1"/>
  <c r="V239" i="2"/>
  <c r="V238" i="2" s="1"/>
  <c r="T239" i="2"/>
  <c r="S239" i="2"/>
  <c r="R239" i="2"/>
  <c r="R238" i="2" s="1"/>
  <c r="R237" i="2" s="1"/>
  <c r="Q239" i="2"/>
  <c r="Q238" i="2" s="1"/>
  <c r="P239" i="2"/>
  <c r="Y239" i="2" s="1"/>
  <c r="O239" i="2"/>
  <c r="X239" i="2" s="1"/>
  <c r="G239" i="2"/>
  <c r="I239" i="2" s="1"/>
  <c r="BM238" i="2"/>
  <c r="BL238" i="2"/>
  <c r="BL237" i="2" s="1"/>
  <c r="BK238" i="2"/>
  <c r="BK237" i="2" s="1"/>
  <c r="BJ238" i="2"/>
  <c r="BJ237" i="2" s="1"/>
  <c r="BI238" i="2"/>
  <c r="BH238" i="2"/>
  <c r="BG238" i="2"/>
  <c r="BF238" i="2"/>
  <c r="BF237" i="2" s="1"/>
  <c r="BE238" i="2"/>
  <c r="BE237" i="2" s="1"/>
  <c r="BD238" i="2"/>
  <c r="BD237" i="2" s="1"/>
  <c r="BC238" i="2"/>
  <c r="BB238" i="2"/>
  <c r="BA238" i="2"/>
  <c r="AZ238" i="2"/>
  <c r="AZ237" i="2" s="1"/>
  <c r="AY238" i="2"/>
  <c r="AY237" i="2" s="1"/>
  <c r="AX238" i="2"/>
  <c r="AX237" i="2" s="1"/>
  <c r="AW238" i="2"/>
  <c r="AV238" i="2"/>
  <c r="AU238" i="2"/>
  <c r="AT238" i="2"/>
  <c r="AT237" i="2" s="1"/>
  <c r="AS238" i="2"/>
  <c r="AS237" i="2" s="1"/>
  <c r="AR238" i="2"/>
  <c r="AR237" i="2" s="1"/>
  <c r="AQ238" i="2"/>
  <c r="AP238" i="2"/>
  <c r="AO238" i="2"/>
  <c r="AN238" i="2"/>
  <c r="AN237" i="2" s="1"/>
  <c r="AM238" i="2"/>
  <c r="AM237" i="2" s="1"/>
  <c r="AL238" i="2"/>
  <c r="AL237" i="2" s="1"/>
  <c r="AK238" i="2"/>
  <c r="AJ238" i="2"/>
  <c r="AI238" i="2"/>
  <c r="AH238" i="2"/>
  <c r="AH237" i="2" s="1"/>
  <c r="AG238" i="2"/>
  <c r="AG237" i="2" s="1"/>
  <c r="AF238" i="2"/>
  <c r="AF237" i="2" s="1"/>
  <c r="AE238" i="2"/>
  <c r="AD238" i="2"/>
  <c r="AC238" i="2"/>
  <c r="AB238" i="2"/>
  <c r="AB237" i="2" s="1"/>
  <c r="AA238" i="2"/>
  <c r="AA237" i="2" s="1"/>
  <c r="T238" i="2"/>
  <c r="T237" i="2" s="1"/>
  <c r="S238" i="2"/>
  <c r="N238" i="2"/>
  <c r="N237" i="2" s="1"/>
  <c r="M238" i="2"/>
  <c r="L238" i="2"/>
  <c r="K238" i="2"/>
  <c r="H238" i="2"/>
  <c r="H237" i="2" s="1"/>
  <c r="G238" i="2"/>
  <c r="F238" i="2"/>
  <c r="E238" i="2"/>
  <c r="BI237" i="2"/>
  <c r="BH237" i="2"/>
  <c r="BC237" i="2"/>
  <c r="BB237" i="2"/>
  <c r="AW237" i="2"/>
  <c r="AV237" i="2"/>
  <c r="AQ237" i="2"/>
  <c r="AP237" i="2"/>
  <c r="AK237" i="2"/>
  <c r="AJ237" i="2"/>
  <c r="AE237" i="2"/>
  <c r="AD237" i="2"/>
  <c r="M237" i="2"/>
  <c r="L237" i="2"/>
  <c r="F237" i="2"/>
  <c r="BT236" i="2"/>
  <c r="BO236" i="2"/>
  <c r="Z236" i="2"/>
  <c r="V236" i="2"/>
  <c r="T236" i="2"/>
  <c r="S236" i="2"/>
  <c r="R236" i="2"/>
  <c r="Q236" i="2"/>
  <c r="W236" i="2" s="1"/>
  <c r="BR236" i="2" s="1"/>
  <c r="P236" i="2"/>
  <c r="Y236" i="2" s="1"/>
  <c r="O236" i="2"/>
  <c r="X236" i="2" s="1"/>
  <c r="E236" i="2"/>
  <c r="G236" i="2" s="1"/>
  <c r="X235" i="2"/>
  <c r="V235" i="2"/>
  <c r="BT235" i="2" s="1"/>
  <c r="T235" i="2"/>
  <c r="S235" i="2"/>
  <c r="R235" i="2"/>
  <c r="Q235" i="2"/>
  <c r="Z235" i="2" s="1"/>
  <c r="P235" i="2"/>
  <c r="Y235" i="2" s="1"/>
  <c r="O235" i="2"/>
  <c r="BN235" i="2" s="1"/>
  <c r="G235" i="2"/>
  <c r="J235" i="2" s="1"/>
  <c r="AP234" i="2"/>
  <c r="AJ234" i="2"/>
  <c r="AG234" i="2"/>
  <c r="R234" i="2" s="1"/>
  <c r="Z234" i="2"/>
  <c r="V234" i="2"/>
  <c r="BT234" i="2" s="1"/>
  <c r="T234" i="2"/>
  <c r="S234" i="2"/>
  <c r="Q234" i="2"/>
  <c r="W234" i="2" s="1"/>
  <c r="BR234" i="2" s="1"/>
  <c r="P234" i="2"/>
  <c r="Y234" i="2" s="1"/>
  <c r="O234" i="2"/>
  <c r="BN234" i="2" s="1"/>
  <c r="K234" i="2"/>
  <c r="G234" i="2"/>
  <c r="I234" i="2" s="1"/>
  <c r="X233" i="2"/>
  <c r="V233" i="2"/>
  <c r="BT233" i="2" s="1"/>
  <c r="T233" i="2"/>
  <c r="S233" i="2"/>
  <c r="R233" i="2"/>
  <c r="Q233" i="2"/>
  <c r="W233" i="2" s="1"/>
  <c r="BR233" i="2" s="1"/>
  <c r="P233" i="2"/>
  <c r="Y233" i="2" s="1"/>
  <c r="O233" i="2"/>
  <c r="BN233" i="2" s="1"/>
  <c r="G233" i="2"/>
  <c r="J233" i="2" s="1"/>
  <c r="BP232" i="2"/>
  <c r="BU232" i="2" s="1"/>
  <c r="AQ232" i="2"/>
  <c r="P232" i="2" s="1"/>
  <c r="Z232" i="2"/>
  <c r="Y232" i="2"/>
  <c r="X232" i="2"/>
  <c r="T232" i="2"/>
  <c r="S232" i="2"/>
  <c r="V232" i="2" s="1"/>
  <c r="BT232" i="2" s="1"/>
  <c r="R232" i="2"/>
  <c r="Q232" i="2"/>
  <c r="BO232" i="2" s="1"/>
  <c r="O232" i="2"/>
  <c r="BN232" i="2" s="1"/>
  <c r="G232" i="2"/>
  <c r="AP231" i="2"/>
  <c r="AG231" i="2"/>
  <c r="R231" i="2" s="1"/>
  <c r="V231" i="2"/>
  <c r="BT231" i="2" s="1"/>
  <c r="U231" i="2"/>
  <c r="BQ231" i="2" s="1"/>
  <c r="T231" i="2"/>
  <c r="S231" i="2"/>
  <c r="Q231" i="2"/>
  <c r="BO231" i="2" s="1"/>
  <c r="P231" i="2"/>
  <c r="Y231" i="2" s="1"/>
  <c r="O231" i="2"/>
  <c r="K231" i="2"/>
  <c r="G231" i="2"/>
  <c r="J231" i="2" s="1"/>
  <c r="AP230" i="2"/>
  <c r="AM230" i="2"/>
  <c r="AM227" i="2" s="1"/>
  <c r="AM206" i="2" s="1"/>
  <c r="AG230" i="2"/>
  <c r="Z230" i="2"/>
  <c r="V230" i="2"/>
  <c r="BT230" i="2" s="1"/>
  <c r="T230" i="2"/>
  <c r="S230" i="2"/>
  <c r="Q230" i="2"/>
  <c r="W230" i="2" s="1"/>
  <c r="BR230" i="2" s="1"/>
  <c r="P230" i="2"/>
  <c r="Y230" i="2" s="1"/>
  <c r="O230" i="2"/>
  <c r="K230" i="2"/>
  <c r="U230" i="2" s="1"/>
  <c r="BQ230" i="2" s="1"/>
  <c r="BS230" i="2" s="1"/>
  <c r="BV230" i="2" s="1"/>
  <c r="G230" i="2"/>
  <c r="I230" i="2" s="1"/>
  <c r="X229" i="2"/>
  <c r="W229" i="2"/>
  <c r="BR229" i="2" s="1"/>
  <c r="V229" i="2"/>
  <c r="BT229" i="2" s="1"/>
  <c r="T229" i="2"/>
  <c r="S229" i="2"/>
  <c r="R229" i="2"/>
  <c r="Q229" i="2"/>
  <c r="Z229" i="2" s="1"/>
  <c r="P229" i="2"/>
  <c r="Y229" i="2" s="1"/>
  <c r="O229" i="2"/>
  <c r="BN229" i="2" s="1"/>
  <c r="G229" i="2"/>
  <c r="J229" i="2" s="1"/>
  <c r="BP228" i="2"/>
  <c r="AQ228" i="2"/>
  <c r="P228" i="2" s="1"/>
  <c r="Z228" i="2"/>
  <c r="X228" i="2"/>
  <c r="T228" i="2"/>
  <c r="S228" i="2"/>
  <c r="S227" i="2" s="1"/>
  <c r="R228" i="2"/>
  <c r="Q228" i="2"/>
  <c r="BO228" i="2" s="1"/>
  <c r="O228" i="2"/>
  <c r="BN228" i="2" s="1"/>
  <c r="M228" i="2"/>
  <c r="J228" i="2"/>
  <c r="I228" i="2"/>
  <c r="G228" i="2"/>
  <c r="BM227" i="2"/>
  <c r="BL227" i="2"/>
  <c r="BK227" i="2"/>
  <c r="BJ227" i="2"/>
  <c r="BI227" i="2"/>
  <c r="BH227" i="2"/>
  <c r="BG227" i="2"/>
  <c r="BF227" i="2"/>
  <c r="BE227" i="2"/>
  <c r="BD227" i="2"/>
  <c r="BC227" i="2"/>
  <c r="BB227" i="2"/>
  <c r="BA227" i="2"/>
  <c r="AZ227" i="2"/>
  <c r="AY227" i="2"/>
  <c r="AX227" i="2"/>
  <c r="AW227" i="2"/>
  <c r="AV227" i="2"/>
  <c r="AU227" i="2"/>
  <c r="AT227" i="2"/>
  <c r="AS227" i="2"/>
  <c r="AR227" i="2"/>
  <c r="AQ227" i="2"/>
  <c r="AP227" i="2"/>
  <c r="AO227" i="2"/>
  <c r="AN227" i="2"/>
  <c r="AL227" i="2"/>
  <c r="AK227" i="2"/>
  <c r="AJ227" i="2"/>
  <c r="AI227" i="2"/>
  <c r="AH227" i="2"/>
  <c r="AF227" i="2"/>
  <c r="AE227" i="2"/>
  <c r="AD227" i="2"/>
  <c r="AC227" i="2"/>
  <c r="AB227" i="2"/>
  <c r="AA227" i="2"/>
  <c r="N227" i="2"/>
  <c r="M227" i="2"/>
  <c r="L227" i="2"/>
  <c r="K227" i="2"/>
  <c r="H227" i="2"/>
  <c r="F227" i="2"/>
  <c r="E227" i="2"/>
  <c r="BR226" i="2"/>
  <c r="BO226" i="2"/>
  <c r="Z226" i="2"/>
  <c r="Y226" i="2"/>
  <c r="T226" i="2"/>
  <c r="S226" i="2"/>
  <c r="V226" i="2" s="1"/>
  <c r="BT226" i="2" s="1"/>
  <c r="R226" i="2"/>
  <c r="Q226" i="2"/>
  <c r="W226" i="2" s="1"/>
  <c r="P226" i="2"/>
  <c r="O226" i="2"/>
  <c r="BN226" i="2" s="1"/>
  <c r="BP226" i="2" s="1"/>
  <c r="J226" i="2"/>
  <c r="I226" i="2"/>
  <c r="G226" i="2"/>
  <c r="BT225" i="2"/>
  <c r="BO225" i="2"/>
  <c r="Z225" i="2"/>
  <c r="V225" i="2"/>
  <c r="T225" i="2"/>
  <c r="S225" i="2"/>
  <c r="R225" i="2"/>
  <c r="Q225" i="2"/>
  <c r="W225" i="2" s="1"/>
  <c r="BR225" i="2" s="1"/>
  <c r="P225" i="2"/>
  <c r="Y225" i="2" s="1"/>
  <c r="O225" i="2"/>
  <c r="X225" i="2" s="1"/>
  <c r="J225" i="2"/>
  <c r="G225" i="2"/>
  <c r="I225" i="2" s="1"/>
  <c r="BT224" i="2"/>
  <c r="BO224" i="2"/>
  <c r="BN224" i="2"/>
  <c r="BP224" i="2" s="1"/>
  <c r="V224" i="2"/>
  <c r="T224" i="2"/>
  <c r="S224" i="2"/>
  <c r="R224" i="2"/>
  <c r="Q224" i="2"/>
  <c r="W224" i="2" s="1"/>
  <c r="BR224" i="2" s="1"/>
  <c r="P224" i="2"/>
  <c r="Y224" i="2" s="1"/>
  <c r="O224" i="2"/>
  <c r="X224" i="2" s="1"/>
  <c r="G224" i="2"/>
  <c r="I224" i="2" s="1"/>
  <c r="BP223" i="2"/>
  <c r="BO223" i="2"/>
  <c r="X223" i="2"/>
  <c r="W223" i="2"/>
  <c r="BR223" i="2" s="1"/>
  <c r="V223" i="2"/>
  <c r="BT223" i="2" s="1"/>
  <c r="T223" i="2"/>
  <c r="S223" i="2"/>
  <c r="R223" i="2"/>
  <c r="Q223" i="2"/>
  <c r="Z223" i="2" s="1"/>
  <c r="P223" i="2"/>
  <c r="Y223" i="2" s="1"/>
  <c r="O223" i="2"/>
  <c r="BN223" i="2" s="1"/>
  <c r="G223" i="2"/>
  <c r="J223" i="2" s="1"/>
  <c r="Y222" i="2"/>
  <c r="X222" i="2"/>
  <c r="W222" i="2"/>
  <c r="BR222" i="2" s="1"/>
  <c r="T222" i="2"/>
  <c r="S222" i="2"/>
  <c r="V222" i="2" s="1"/>
  <c r="BT222" i="2" s="1"/>
  <c r="R222" i="2"/>
  <c r="Q222" i="2"/>
  <c r="P222" i="2"/>
  <c r="O222" i="2"/>
  <c r="BN222" i="2" s="1"/>
  <c r="G222" i="2"/>
  <c r="Z221" i="2"/>
  <c r="Y221" i="2"/>
  <c r="X221" i="2"/>
  <c r="T221" i="2"/>
  <c r="S221" i="2"/>
  <c r="V221" i="2" s="1"/>
  <c r="BT221" i="2" s="1"/>
  <c r="R221" i="2"/>
  <c r="Q221" i="2"/>
  <c r="BO221" i="2" s="1"/>
  <c r="P221" i="2"/>
  <c r="O221" i="2"/>
  <c r="BN221" i="2" s="1"/>
  <c r="G221" i="2"/>
  <c r="J221" i="2" s="1"/>
  <c r="BO220" i="2"/>
  <c r="Z220" i="2"/>
  <c r="Y220" i="2"/>
  <c r="T220" i="2"/>
  <c r="S220" i="2"/>
  <c r="V220" i="2" s="1"/>
  <c r="BT220" i="2" s="1"/>
  <c r="R220" i="2"/>
  <c r="Q220" i="2"/>
  <c r="W220" i="2" s="1"/>
  <c r="BR220" i="2" s="1"/>
  <c r="P220" i="2"/>
  <c r="O220" i="2"/>
  <c r="BN220" i="2" s="1"/>
  <c r="BP220" i="2" s="1"/>
  <c r="J220" i="2"/>
  <c r="I220" i="2"/>
  <c r="G220" i="2"/>
  <c r="BT219" i="2"/>
  <c r="BO219" i="2"/>
  <c r="Z219" i="2"/>
  <c r="V219" i="2"/>
  <c r="T219" i="2"/>
  <c r="S219" i="2"/>
  <c r="R219" i="2"/>
  <c r="Q219" i="2"/>
  <c r="W219" i="2" s="1"/>
  <c r="BR219" i="2" s="1"/>
  <c r="P219" i="2"/>
  <c r="Y219" i="2" s="1"/>
  <c r="O219" i="2"/>
  <c r="X219" i="2" s="1"/>
  <c r="J219" i="2"/>
  <c r="G219" i="2"/>
  <c r="I219" i="2" s="1"/>
  <c r="BT218" i="2"/>
  <c r="BO218" i="2"/>
  <c r="BN218" i="2"/>
  <c r="BP218" i="2" s="1"/>
  <c r="V218" i="2"/>
  <c r="T218" i="2"/>
  <c r="S218" i="2"/>
  <c r="R218" i="2"/>
  <c r="Q218" i="2"/>
  <c r="W218" i="2" s="1"/>
  <c r="BR218" i="2" s="1"/>
  <c r="P218" i="2"/>
  <c r="Y218" i="2" s="1"/>
  <c r="O218" i="2"/>
  <c r="X218" i="2" s="1"/>
  <c r="G218" i="2"/>
  <c r="I218" i="2" s="1"/>
  <c r="BP217" i="2"/>
  <c r="BO217" i="2"/>
  <c r="X217" i="2"/>
  <c r="W217" i="2"/>
  <c r="BR217" i="2" s="1"/>
  <c r="V217" i="2"/>
  <c r="BT217" i="2" s="1"/>
  <c r="T217" i="2"/>
  <c r="S217" i="2"/>
  <c r="R217" i="2"/>
  <c r="Q217" i="2"/>
  <c r="Z217" i="2" s="1"/>
  <c r="P217" i="2"/>
  <c r="Y217" i="2" s="1"/>
  <c r="O217" i="2"/>
  <c r="BN217" i="2" s="1"/>
  <c r="G217" i="2"/>
  <c r="Y216" i="2"/>
  <c r="X216" i="2"/>
  <c r="T216" i="2"/>
  <c r="S216" i="2"/>
  <c r="V216" i="2" s="1"/>
  <c r="BT216" i="2" s="1"/>
  <c r="R216" i="2"/>
  <c r="Q216" i="2"/>
  <c r="W216" i="2" s="1"/>
  <c r="BR216" i="2" s="1"/>
  <c r="P216" i="2"/>
  <c r="O216" i="2"/>
  <c r="BN216" i="2" s="1"/>
  <c r="G216" i="2"/>
  <c r="J216" i="2" s="1"/>
  <c r="Z215" i="2"/>
  <c r="Y215" i="2"/>
  <c r="X215" i="2"/>
  <c r="T215" i="2"/>
  <c r="S215" i="2"/>
  <c r="V215" i="2" s="1"/>
  <c r="BT215" i="2" s="1"/>
  <c r="R215" i="2"/>
  <c r="Q215" i="2"/>
  <c r="BO215" i="2" s="1"/>
  <c r="P215" i="2"/>
  <c r="O215" i="2"/>
  <c r="BN215" i="2" s="1"/>
  <c r="BP215" i="2" s="1"/>
  <c r="BU215" i="2" s="1"/>
  <c r="J215" i="2"/>
  <c r="I215" i="2"/>
  <c r="G215" i="2"/>
  <c r="BR214" i="2"/>
  <c r="BO214" i="2"/>
  <c r="BN214" i="2"/>
  <c r="BP214" i="2" s="1"/>
  <c r="Z214" i="2"/>
  <c r="Y214" i="2"/>
  <c r="T214" i="2"/>
  <c r="S214" i="2"/>
  <c r="V214" i="2" s="1"/>
  <c r="BT214" i="2" s="1"/>
  <c r="R214" i="2"/>
  <c r="Q214" i="2"/>
  <c r="W214" i="2" s="1"/>
  <c r="P214" i="2"/>
  <c r="O214" i="2"/>
  <c r="X214" i="2" s="1"/>
  <c r="J214" i="2"/>
  <c r="I214" i="2"/>
  <c r="G214" i="2"/>
  <c r="BO213" i="2"/>
  <c r="BN213" i="2"/>
  <c r="BP213" i="2" s="1"/>
  <c r="BU213" i="2" s="1"/>
  <c r="Z213" i="2"/>
  <c r="V213" i="2"/>
  <c r="BT213" i="2" s="1"/>
  <c r="T213" i="2"/>
  <c r="S213" i="2"/>
  <c r="R213" i="2"/>
  <c r="Q213" i="2"/>
  <c r="W213" i="2" s="1"/>
  <c r="BR213" i="2" s="1"/>
  <c r="P213" i="2"/>
  <c r="Y213" i="2" s="1"/>
  <c r="O213" i="2"/>
  <c r="X213" i="2" s="1"/>
  <c r="J213" i="2"/>
  <c r="G213" i="2"/>
  <c r="I213" i="2" s="1"/>
  <c r="BN212" i="2"/>
  <c r="V212" i="2"/>
  <c r="BT212" i="2" s="1"/>
  <c r="T212" i="2"/>
  <c r="S212" i="2"/>
  <c r="R212" i="2"/>
  <c r="Q212" i="2"/>
  <c r="Z212" i="2" s="1"/>
  <c r="P212" i="2"/>
  <c r="Y212" i="2" s="1"/>
  <c r="O212" i="2"/>
  <c r="X212" i="2" s="1"/>
  <c r="G212" i="2"/>
  <c r="I212" i="2" s="1"/>
  <c r="X211" i="2"/>
  <c r="W211" i="2"/>
  <c r="BR211" i="2" s="1"/>
  <c r="V211" i="2"/>
  <c r="BT211" i="2" s="1"/>
  <c r="T211" i="2"/>
  <c r="S211" i="2"/>
  <c r="R211" i="2"/>
  <c r="Q211" i="2"/>
  <c r="Z211" i="2" s="1"/>
  <c r="P211" i="2"/>
  <c r="Y211" i="2" s="1"/>
  <c r="O211" i="2"/>
  <c r="BN211" i="2" s="1"/>
  <c r="G211" i="2"/>
  <c r="Y210" i="2"/>
  <c r="X210" i="2"/>
  <c r="T210" i="2"/>
  <c r="S210" i="2"/>
  <c r="V210" i="2" s="1"/>
  <c r="BT210" i="2" s="1"/>
  <c r="R210" i="2"/>
  <c r="R207" i="2" s="1"/>
  <c r="Q210" i="2"/>
  <c r="P210" i="2"/>
  <c r="O210" i="2"/>
  <c r="BN210" i="2" s="1"/>
  <c r="G210" i="2"/>
  <c r="J210" i="2" s="1"/>
  <c r="Z209" i="2"/>
  <c r="Y209" i="2"/>
  <c r="X209" i="2"/>
  <c r="T209" i="2"/>
  <c r="S209" i="2"/>
  <c r="V209" i="2" s="1"/>
  <c r="BT209" i="2" s="1"/>
  <c r="R209" i="2"/>
  <c r="Q209" i="2"/>
  <c r="BO209" i="2" s="1"/>
  <c r="P209" i="2"/>
  <c r="O209" i="2"/>
  <c r="BN209" i="2" s="1"/>
  <c r="BP209" i="2" s="1"/>
  <c r="BU209" i="2" s="1"/>
  <c r="J209" i="2"/>
  <c r="I209" i="2"/>
  <c r="G209" i="2"/>
  <c r="BR208" i="2"/>
  <c r="BO208" i="2"/>
  <c r="Z208" i="2"/>
  <c r="Y208" i="2"/>
  <c r="T208" i="2"/>
  <c r="S208" i="2"/>
  <c r="V208" i="2" s="1"/>
  <c r="V207" i="2" s="1"/>
  <c r="R208" i="2"/>
  <c r="Q208" i="2"/>
  <c r="W208" i="2" s="1"/>
  <c r="P208" i="2"/>
  <c r="O208" i="2"/>
  <c r="BN208" i="2" s="1"/>
  <c r="J208" i="2"/>
  <c r="I208" i="2"/>
  <c r="G208" i="2"/>
  <c r="BM207" i="2"/>
  <c r="BL207" i="2"/>
  <c r="BK207" i="2"/>
  <c r="BJ207" i="2"/>
  <c r="BJ206" i="2" s="1"/>
  <c r="BI207" i="2"/>
  <c r="BI206" i="2" s="1"/>
  <c r="BH207" i="2"/>
  <c r="BH206" i="2" s="1"/>
  <c r="BG207" i="2"/>
  <c r="BG206" i="2" s="1"/>
  <c r="BF207" i="2"/>
  <c r="BE207" i="2"/>
  <c r="BD207" i="2"/>
  <c r="BD206" i="2" s="1"/>
  <c r="BC207" i="2"/>
  <c r="BC206" i="2" s="1"/>
  <c r="BB207" i="2"/>
  <c r="BA207" i="2"/>
  <c r="AZ207" i="2"/>
  <c r="AY207" i="2"/>
  <c r="AX207" i="2"/>
  <c r="AX206" i="2" s="1"/>
  <c r="AW207" i="2"/>
  <c r="AW206" i="2" s="1"/>
  <c r="AV207" i="2"/>
  <c r="AV206" i="2" s="1"/>
  <c r="AU207" i="2"/>
  <c r="AT207" i="2"/>
  <c r="AS207" i="2"/>
  <c r="AR207" i="2"/>
  <c r="AR206" i="2" s="1"/>
  <c r="AQ207" i="2"/>
  <c r="AQ206" i="2" s="1"/>
  <c r="AP207" i="2"/>
  <c r="AP206" i="2" s="1"/>
  <c r="AO207" i="2"/>
  <c r="AO206" i="2" s="1"/>
  <c r="AN207" i="2"/>
  <c r="AM207" i="2"/>
  <c r="AL207" i="2"/>
  <c r="AL206" i="2" s="1"/>
  <c r="AK207" i="2"/>
  <c r="AK206" i="2" s="1"/>
  <c r="AJ207" i="2"/>
  <c r="AJ206" i="2" s="1"/>
  <c r="AI207" i="2"/>
  <c r="AH207" i="2"/>
  <c r="AG207" i="2"/>
  <c r="AF207" i="2"/>
  <c r="AF206" i="2" s="1"/>
  <c r="AE207" i="2"/>
  <c r="AE206" i="2" s="1"/>
  <c r="AD207" i="2"/>
  <c r="AD206" i="2" s="1"/>
  <c r="AC207" i="2"/>
  <c r="AC206" i="2" s="1"/>
  <c r="AB207" i="2"/>
  <c r="AA207" i="2"/>
  <c r="N207" i="2"/>
  <c r="N206" i="2" s="1"/>
  <c r="M207" i="2"/>
  <c r="M206" i="2" s="1"/>
  <c r="L207" i="2"/>
  <c r="K207" i="2"/>
  <c r="H207" i="2"/>
  <c r="H206" i="2" s="1"/>
  <c r="F207" i="2"/>
  <c r="F206" i="2" s="1"/>
  <c r="E207" i="2"/>
  <c r="E206" i="2" s="1"/>
  <c r="BM206" i="2"/>
  <c r="BL206" i="2"/>
  <c r="BK206" i="2"/>
  <c r="BF206" i="2"/>
  <c r="BE206" i="2"/>
  <c r="BB206" i="2"/>
  <c r="BA206" i="2"/>
  <c r="AZ206" i="2"/>
  <c r="AY206" i="2"/>
  <c r="AU206" i="2"/>
  <c r="AT206" i="2"/>
  <c r="AS206" i="2"/>
  <c r="AN206" i="2"/>
  <c r="AI206" i="2"/>
  <c r="AH206" i="2"/>
  <c r="AB206" i="2"/>
  <c r="AA206" i="2"/>
  <c r="L206" i="2"/>
  <c r="K206" i="2"/>
  <c r="Z205" i="2"/>
  <c r="Y205" i="2"/>
  <c r="X205" i="2"/>
  <c r="T205" i="2"/>
  <c r="S205" i="2"/>
  <c r="V205" i="2" s="1"/>
  <c r="BT205" i="2" s="1"/>
  <c r="R205" i="2"/>
  <c r="Q205" i="2"/>
  <c r="BO205" i="2" s="1"/>
  <c r="P205" i="2"/>
  <c r="O205" i="2"/>
  <c r="BN205" i="2" s="1"/>
  <c r="BP205" i="2" s="1"/>
  <c r="BU205" i="2" s="1"/>
  <c r="J205" i="2"/>
  <c r="I205" i="2"/>
  <c r="G205" i="2"/>
  <c r="T204" i="2"/>
  <c r="S204" i="2"/>
  <c r="Q204" i="2"/>
  <c r="Z204" i="2" s="1"/>
  <c r="P204" i="2"/>
  <c r="Y204" i="2" s="1"/>
  <c r="N204" i="2"/>
  <c r="M204" i="2"/>
  <c r="M196" i="2" s="1"/>
  <c r="L204" i="2"/>
  <c r="K204" i="2"/>
  <c r="H204" i="2"/>
  <c r="G204" i="2"/>
  <c r="F204" i="2"/>
  <c r="E204" i="2"/>
  <c r="BT203" i="2"/>
  <c r="BN203" i="2"/>
  <c r="X203" i="2"/>
  <c r="W203" i="2"/>
  <c r="BR203" i="2" s="1"/>
  <c r="V203" i="2"/>
  <c r="T203" i="2"/>
  <c r="S203" i="2"/>
  <c r="R203" i="2"/>
  <c r="Q203" i="2"/>
  <c r="P203" i="2"/>
  <c r="Y203" i="2" s="1"/>
  <c r="O203" i="2"/>
  <c r="U203" i="2" s="1"/>
  <c r="BQ203" i="2" s="1"/>
  <c r="G203" i="2"/>
  <c r="Y202" i="2"/>
  <c r="X202" i="2"/>
  <c r="T202" i="2"/>
  <c r="S202" i="2"/>
  <c r="S201" i="2" s="1"/>
  <c r="R202" i="2"/>
  <c r="R201" i="2" s="1"/>
  <c r="Q202" i="2"/>
  <c r="P202" i="2"/>
  <c r="P201" i="2" s="1"/>
  <c r="Y201" i="2" s="1"/>
  <c r="O202" i="2"/>
  <c r="BN202" i="2" s="1"/>
  <c r="G202" i="2"/>
  <c r="BM201" i="2"/>
  <c r="BL201" i="2"/>
  <c r="BK201" i="2"/>
  <c r="BJ201" i="2"/>
  <c r="BI201" i="2"/>
  <c r="BH201" i="2"/>
  <c r="BG201" i="2"/>
  <c r="BF201" i="2"/>
  <c r="BE201" i="2"/>
  <c r="BD201" i="2"/>
  <c r="BC201" i="2"/>
  <c r="BB201" i="2"/>
  <c r="BA201" i="2"/>
  <c r="AZ201" i="2"/>
  <c r="AY201" i="2"/>
  <c r="AX201" i="2"/>
  <c r="AW201" i="2"/>
  <c r="AV201" i="2"/>
  <c r="AU201" i="2"/>
  <c r="AT201" i="2"/>
  <c r="AS201" i="2"/>
  <c r="AR201" i="2"/>
  <c r="AQ201" i="2"/>
  <c r="AP201" i="2"/>
  <c r="AO201" i="2"/>
  <c r="AN201" i="2"/>
  <c r="AM201" i="2"/>
  <c r="AL201" i="2"/>
  <c r="AK201" i="2"/>
  <c r="AJ201" i="2"/>
  <c r="AI201" i="2"/>
  <c r="AH201" i="2"/>
  <c r="AG201" i="2"/>
  <c r="AF201" i="2"/>
  <c r="AE201" i="2"/>
  <c r="AD201" i="2"/>
  <c r="AC201" i="2"/>
  <c r="AB201" i="2"/>
  <c r="AA201" i="2"/>
  <c r="T201" i="2"/>
  <c r="O201" i="2"/>
  <c r="X201" i="2" s="1"/>
  <c r="N201" i="2"/>
  <c r="M201" i="2"/>
  <c r="L201" i="2"/>
  <c r="K201" i="2"/>
  <c r="H201" i="2"/>
  <c r="F201" i="2"/>
  <c r="E201" i="2"/>
  <c r="X200" i="2"/>
  <c r="W200" i="2"/>
  <c r="BR200" i="2" s="1"/>
  <c r="BR199" i="2" s="1"/>
  <c r="V200" i="2"/>
  <c r="BT200" i="2" s="1"/>
  <c r="BT199" i="2" s="1"/>
  <c r="T200" i="2"/>
  <c r="S200" i="2"/>
  <c r="S199" i="2" s="1"/>
  <c r="R200" i="2"/>
  <c r="R199" i="2" s="1"/>
  <c r="Q200" i="2"/>
  <c r="Z200" i="2" s="1"/>
  <c r="P200" i="2"/>
  <c r="Y200" i="2" s="1"/>
  <c r="O200" i="2"/>
  <c r="BN200" i="2" s="1"/>
  <c r="I200" i="2"/>
  <c r="G200" i="2"/>
  <c r="BM199" i="2"/>
  <c r="BM808" i="2" s="1"/>
  <c r="BL199" i="2"/>
  <c r="BL808" i="2" s="1"/>
  <c r="BK199" i="2"/>
  <c r="BK808" i="2" s="1"/>
  <c r="BJ199" i="2"/>
  <c r="BJ808" i="2" s="1"/>
  <c r="BI199" i="2"/>
  <c r="BI808" i="2" s="1"/>
  <c r="BH199" i="2"/>
  <c r="BH808" i="2" s="1"/>
  <c r="BG199" i="2"/>
  <c r="BG808" i="2" s="1"/>
  <c r="BF199" i="2"/>
  <c r="BE199" i="2"/>
  <c r="BE808" i="2" s="1"/>
  <c r="BD199" i="2"/>
  <c r="BD808" i="2" s="1"/>
  <c r="BC199" i="2"/>
  <c r="BC808" i="2" s="1"/>
  <c r="BB199" i="2"/>
  <c r="BB808" i="2" s="1"/>
  <c r="BA199" i="2"/>
  <c r="BA808" i="2" s="1"/>
  <c r="AZ199" i="2"/>
  <c r="AY199" i="2"/>
  <c r="AY808" i="2" s="1"/>
  <c r="AX199" i="2"/>
  <c r="AX808" i="2" s="1"/>
  <c r="AW199" i="2"/>
  <c r="AW808" i="2" s="1"/>
  <c r="AV199" i="2"/>
  <c r="AV808" i="2" s="1"/>
  <c r="AU199" i="2"/>
  <c r="AU808" i="2" s="1"/>
  <c r="AT199" i="2"/>
  <c r="AS199" i="2"/>
  <c r="AS808" i="2" s="1"/>
  <c r="AR199" i="2"/>
  <c r="AR808" i="2" s="1"/>
  <c r="AQ199" i="2"/>
  <c r="AQ808" i="2" s="1"/>
  <c r="AP199" i="2"/>
  <c r="AP808" i="2" s="1"/>
  <c r="AO199" i="2"/>
  <c r="AO808" i="2" s="1"/>
  <c r="AN199" i="2"/>
  <c r="AM199" i="2"/>
  <c r="AM808" i="2" s="1"/>
  <c r="AL199" i="2"/>
  <c r="AL808" i="2" s="1"/>
  <c r="AK199" i="2"/>
  <c r="AK808" i="2" s="1"/>
  <c r="AJ199" i="2"/>
  <c r="AJ808" i="2" s="1"/>
  <c r="AI199" i="2"/>
  <c r="AI808" i="2" s="1"/>
  <c r="AH199" i="2"/>
  <c r="AG199" i="2"/>
  <c r="AG808" i="2" s="1"/>
  <c r="AF199" i="2"/>
  <c r="AF808" i="2" s="1"/>
  <c r="AE199" i="2"/>
  <c r="AE808" i="2" s="1"/>
  <c r="AD199" i="2"/>
  <c r="AD808" i="2" s="1"/>
  <c r="AC199" i="2"/>
  <c r="AC808" i="2" s="1"/>
  <c r="AB199" i="2"/>
  <c r="AA199" i="2"/>
  <c r="AA808" i="2" s="1"/>
  <c r="Z199" i="2"/>
  <c r="W199" i="2"/>
  <c r="T199" i="2"/>
  <c r="Q199" i="2"/>
  <c r="P199" i="2"/>
  <c r="Y199" i="2" s="1"/>
  <c r="O199" i="2"/>
  <c r="N199" i="2"/>
  <c r="M199" i="2"/>
  <c r="L199" i="2"/>
  <c r="K199" i="2"/>
  <c r="H199" i="2"/>
  <c r="F199" i="2"/>
  <c r="E199" i="2"/>
  <c r="Y198" i="2"/>
  <c r="X198" i="2"/>
  <c r="T198" i="2"/>
  <c r="S198" i="2"/>
  <c r="S197" i="2" s="1"/>
  <c r="S196" i="2" s="1"/>
  <c r="R198" i="2"/>
  <c r="R197" i="2" s="1"/>
  <c r="Q198" i="2"/>
  <c r="P198" i="2"/>
  <c r="P197" i="2" s="1"/>
  <c r="O198" i="2"/>
  <c r="BN198" i="2" s="1"/>
  <c r="G198" i="2"/>
  <c r="BM197" i="2"/>
  <c r="BM196" i="2" s="1"/>
  <c r="BL197" i="2"/>
  <c r="BK197" i="2"/>
  <c r="BJ197" i="2"/>
  <c r="BI197" i="2"/>
  <c r="BH197" i="2"/>
  <c r="BG197" i="2"/>
  <c r="BG196" i="2" s="1"/>
  <c r="BF197" i="2"/>
  <c r="BE197" i="2"/>
  <c r="BD197" i="2"/>
  <c r="BC197" i="2"/>
  <c r="BB197" i="2"/>
  <c r="BA197" i="2"/>
  <c r="BA196" i="2" s="1"/>
  <c r="AZ197" i="2"/>
  <c r="AZ196" i="2" s="1"/>
  <c r="AY197" i="2"/>
  <c r="AX197" i="2"/>
  <c r="AW197" i="2"/>
  <c r="AV197" i="2"/>
  <c r="AU197" i="2"/>
  <c r="AU196" i="2" s="1"/>
  <c r="AT197" i="2"/>
  <c r="AS197" i="2"/>
  <c r="AR197" i="2"/>
  <c r="AQ197" i="2"/>
  <c r="AP197" i="2"/>
  <c r="AO197" i="2"/>
  <c r="AO196" i="2" s="1"/>
  <c r="AN197" i="2"/>
  <c r="AM197" i="2"/>
  <c r="AL197" i="2"/>
  <c r="AK197" i="2"/>
  <c r="AJ197" i="2"/>
  <c r="AI197" i="2"/>
  <c r="AI196" i="2" s="1"/>
  <c r="AH197" i="2"/>
  <c r="AG197" i="2"/>
  <c r="AF197" i="2"/>
  <c r="AE197" i="2"/>
  <c r="AD197" i="2"/>
  <c r="AC197" i="2"/>
  <c r="AC196" i="2" s="1"/>
  <c r="AB197" i="2"/>
  <c r="AA197" i="2"/>
  <c r="T197" i="2"/>
  <c r="T196" i="2" s="1"/>
  <c r="O197" i="2"/>
  <c r="X197" i="2" s="1"/>
  <c r="N197" i="2"/>
  <c r="M197" i="2"/>
  <c r="L197" i="2"/>
  <c r="K197" i="2"/>
  <c r="H197" i="2"/>
  <c r="F197" i="2"/>
  <c r="E197" i="2"/>
  <c r="E196" i="2" s="1"/>
  <c r="BJ196" i="2"/>
  <c r="BI196" i="2"/>
  <c r="BH196" i="2"/>
  <c r="BC196" i="2"/>
  <c r="BB196" i="2"/>
  <c r="AW196" i="2"/>
  <c r="AV196" i="2"/>
  <c r="AQ196" i="2"/>
  <c r="AP196" i="2"/>
  <c r="AM196" i="2"/>
  <c r="AL196" i="2"/>
  <c r="AK196" i="2"/>
  <c r="AJ196" i="2"/>
  <c r="AF196" i="2"/>
  <c r="AE196" i="2"/>
  <c r="AD196" i="2"/>
  <c r="N196" i="2"/>
  <c r="L196" i="2"/>
  <c r="H196" i="2"/>
  <c r="F196" i="2"/>
  <c r="BQ195" i="2"/>
  <c r="BN195" i="2"/>
  <c r="X195" i="2"/>
  <c r="V195" i="2"/>
  <c r="BT195" i="2" s="1"/>
  <c r="T195" i="2"/>
  <c r="S195" i="2"/>
  <c r="R195" i="2"/>
  <c r="Q195" i="2"/>
  <c r="Z195" i="2" s="1"/>
  <c r="P195" i="2"/>
  <c r="Y195" i="2" s="1"/>
  <c r="O195" i="2"/>
  <c r="U195" i="2" s="1"/>
  <c r="E195" i="2"/>
  <c r="G195" i="2" s="1"/>
  <c r="S194" i="2"/>
  <c r="R194" i="2"/>
  <c r="P194" i="2"/>
  <c r="Y194" i="2" s="1"/>
  <c r="O194" i="2"/>
  <c r="N194" i="2"/>
  <c r="M194" i="2"/>
  <c r="L194" i="2"/>
  <c r="K194" i="2"/>
  <c r="H194" i="2"/>
  <c r="F194" i="2"/>
  <c r="E194" i="2"/>
  <c r="T193" i="2"/>
  <c r="S193" i="2"/>
  <c r="V193" i="2" s="1"/>
  <c r="BT193" i="2" s="1"/>
  <c r="R193" i="2"/>
  <c r="Q193" i="2"/>
  <c r="W193" i="2" s="1"/>
  <c r="BR193" i="2" s="1"/>
  <c r="P193" i="2"/>
  <c r="Y193" i="2" s="1"/>
  <c r="O193" i="2"/>
  <c r="BN193" i="2" s="1"/>
  <c r="E193" i="2"/>
  <c r="Z192" i="2"/>
  <c r="T192" i="2"/>
  <c r="T808" i="2" s="1"/>
  <c r="R192" i="2"/>
  <c r="R808" i="2" s="1"/>
  <c r="Q192" i="2"/>
  <c r="P192" i="2"/>
  <c r="Y192" i="2" s="1"/>
  <c r="O192" i="2"/>
  <c r="X192" i="2" s="1"/>
  <c r="N192" i="2"/>
  <c r="N808" i="2" s="1"/>
  <c r="M192" i="2"/>
  <c r="M808" i="2" s="1"/>
  <c r="L192" i="2"/>
  <c r="L808" i="2" s="1"/>
  <c r="K192" i="2"/>
  <c r="H192" i="2"/>
  <c r="H808" i="2" s="1"/>
  <c r="F192" i="2"/>
  <c r="F808" i="2" s="1"/>
  <c r="BN191" i="2"/>
  <c r="T191" i="2"/>
  <c r="S191" i="2"/>
  <c r="V191" i="2" s="1"/>
  <c r="BT191" i="2" s="1"/>
  <c r="R191" i="2"/>
  <c r="Q191" i="2"/>
  <c r="W191" i="2" s="1"/>
  <c r="BR191" i="2" s="1"/>
  <c r="P191" i="2"/>
  <c r="Y191" i="2" s="1"/>
  <c r="O191" i="2"/>
  <c r="X191" i="2" s="1"/>
  <c r="G191" i="2"/>
  <c r="I191" i="2" s="1"/>
  <c r="V190" i="2"/>
  <c r="T190" i="2"/>
  <c r="S190" i="2"/>
  <c r="Q190" i="2"/>
  <c r="Z190" i="2" s="1"/>
  <c r="P190" i="2"/>
  <c r="Y190" i="2" s="1"/>
  <c r="N190" i="2"/>
  <c r="M190" i="2"/>
  <c r="L190" i="2"/>
  <c r="L186" i="2" s="1"/>
  <c r="K190" i="2"/>
  <c r="J190" i="2"/>
  <c r="H190" i="2"/>
  <c r="G190" i="2"/>
  <c r="I190" i="2" s="1"/>
  <c r="F190" i="2"/>
  <c r="F186" i="2" s="1"/>
  <c r="E190" i="2"/>
  <c r="V189" i="2"/>
  <c r="BT189" i="2" s="1"/>
  <c r="T189" i="2"/>
  <c r="S189" i="2"/>
  <c r="R189" i="2"/>
  <c r="Q189" i="2"/>
  <c r="BO189" i="2" s="1"/>
  <c r="P189" i="2"/>
  <c r="O189" i="2"/>
  <c r="G189" i="2"/>
  <c r="I189" i="2" s="1"/>
  <c r="BO188" i="2"/>
  <c r="BO187" i="2" s="1"/>
  <c r="X188" i="2"/>
  <c r="V188" i="2"/>
  <c r="T188" i="2"/>
  <c r="S188" i="2"/>
  <c r="S187" i="2" s="1"/>
  <c r="R188" i="2"/>
  <c r="R187" i="2" s="1"/>
  <c r="Q188" i="2"/>
  <c r="Z188" i="2" s="1"/>
  <c r="P188" i="2"/>
  <c r="O188" i="2"/>
  <c r="BN188" i="2" s="1"/>
  <c r="G188" i="2"/>
  <c r="J188" i="2" s="1"/>
  <c r="BM187" i="2"/>
  <c r="BM186" i="2" s="1"/>
  <c r="BL187" i="2"/>
  <c r="BL186" i="2" s="1"/>
  <c r="BK187" i="2"/>
  <c r="BK186" i="2" s="1"/>
  <c r="BJ187" i="2"/>
  <c r="BJ186" i="2" s="1"/>
  <c r="BI187" i="2"/>
  <c r="BH187" i="2"/>
  <c r="BG187" i="2"/>
  <c r="BG186" i="2" s="1"/>
  <c r="BF187" i="2"/>
  <c r="BE187" i="2"/>
  <c r="BD187" i="2"/>
  <c r="BD186" i="2" s="1"/>
  <c r="BC187" i="2"/>
  <c r="BB187" i="2"/>
  <c r="BA187" i="2"/>
  <c r="BA186" i="2" s="1"/>
  <c r="AZ187" i="2"/>
  <c r="AY187" i="2"/>
  <c r="AX187" i="2"/>
  <c r="AX186" i="2" s="1"/>
  <c r="AW187" i="2"/>
  <c r="AV187" i="2"/>
  <c r="AU187" i="2"/>
  <c r="AU186" i="2" s="1"/>
  <c r="AT187" i="2"/>
  <c r="AS187" i="2"/>
  <c r="AR187" i="2"/>
  <c r="AR186" i="2" s="1"/>
  <c r="AQ187" i="2"/>
  <c r="AP187" i="2"/>
  <c r="AO187" i="2"/>
  <c r="AO186" i="2" s="1"/>
  <c r="AN187" i="2"/>
  <c r="AM187" i="2"/>
  <c r="AL187" i="2"/>
  <c r="AL186" i="2" s="1"/>
  <c r="AK187" i="2"/>
  <c r="AJ187" i="2"/>
  <c r="AI187" i="2"/>
  <c r="AI186" i="2" s="1"/>
  <c r="AH187" i="2"/>
  <c r="AG187" i="2"/>
  <c r="AF187" i="2"/>
  <c r="AF186" i="2" s="1"/>
  <c r="AE187" i="2"/>
  <c r="AD187" i="2"/>
  <c r="AC187" i="2"/>
  <c r="AC186" i="2" s="1"/>
  <c r="AB187" i="2"/>
  <c r="AA187" i="2"/>
  <c r="AA186" i="2" s="1"/>
  <c r="T187" i="2"/>
  <c r="N187" i="2"/>
  <c r="N186" i="2" s="1"/>
  <c r="M187" i="2"/>
  <c r="L187" i="2"/>
  <c r="K187" i="2"/>
  <c r="K186" i="2" s="1"/>
  <c r="H187" i="2"/>
  <c r="H186" i="2" s="1"/>
  <c r="F187" i="2"/>
  <c r="E187" i="2"/>
  <c r="BI186" i="2"/>
  <c r="BH186" i="2"/>
  <c r="BC186" i="2"/>
  <c r="BB186" i="2"/>
  <c r="AW186" i="2"/>
  <c r="AV186" i="2"/>
  <c r="AQ186" i="2"/>
  <c r="AP186" i="2"/>
  <c r="AK186" i="2"/>
  <c r="AJ186" i="2"/>
  <c r="AE186" i="2"/>
  <c r="AD186" i="2"/>
  <c r="BT185" i="2"/>
  <c r="BO185" i="2"/>
  <c r="BN185" i="2"/>
  <c r="BP185" i="2" s="1"/>
  <c r="V185" i="2"/>
  <c r="T185" i="2"/>
  <c r="S185" i="2"/>
  <c r="R185" i="2"/>
  <c r="Q185" i="2"/>
  <c r="W185" i="2" s="1"/>
  <c r="BR185" i="2" s="1"/>
  <c r="P185" i="2"/>
  <c r="Y185" i="2" s="1"/>
  <c r="O185" i="2"/>
  <c r="X185" i="2" s="1"/>
  <c r="E185" i="2"/>
  <c r="G185" i="2" s="1"/>
  <c r="T184" i="2"/>
  <c r="R184" i="2"/>
  <c r="Q184" i="2"/>
  <c r="W184" i="2" s="1"/>
  <c r="O184" i="2"/>
  <c r="X184" i="2" s="1"/>
  <c r="N184" i="2"/>
  <c r="M184" i="2"/>
  <c r="L184" i="2"/>
  <c r="K184" i="2"/>
  <c r="U184" i="2" s="1"/>
  <c r="H184" i="2"/>
  <c r="F184" i="2"/>
  <c r="F175" i="2" s="1"/>
  <c r="E184" i="2"/>
  <c r="BO183" i="2"/>
  <c r="Z183" i="2"/>
  <c r="Y183" i="2"/>
  <c r="T183" i="2"/>
  <c r="S183" i="2"/>
  <c r="V183" i="2" s="1"/>
  <c r="BT183" i="2" s="1"/>
  <c r="R183" i="2"/>
  <c r="Q183" i="2"/>
  <c r="W183" i="2" s="1"/>
  <c r="BR183" i="2" s="1"/>
  <c r="P183" i="2"/>
  <c r="O183" i="2"/>
  <c r="BN183" i="2" s="1"/>
  <c r="BP183" i="2" s="1"/>
  <c r="J183" i="2"/>
  <c r="I183" i="2"/>
  <c r="G183" i="2"/>
  <c r="T182" i="2"/>
  <c r="R182" i="2"/>
  <c r="Q182" i="2"/>
  <c r="Z182" i="2" s="1"/>
  <c r="O182" i="2"/>
  <c r="N182" i="2"/>
  <c r="M182" i="2"/>
  <c r="L182" i="2"/>
  <c r="K182" i="2"/>
  <c r="I182" i="2"/>
  <c r="H182" i="2"/>
  <c r="H806" i="2" s="1"/>
  <c r="G182" i="2"/>
  <c r="F182" i="2"/>
  <c r="E182" i="2"/>
  <c r="BO181" i="2"/>
  <c r="BO180" i="2" s="1"/>
  <c r="X181" i="2"/>
  <c r="V181" i="2"/>
  <c r="T181" i="2"/>
  <c r="S181" i="2"/>
  <c r="S180" i="2" s="1"/>
  <c r="R181" i="2"/>
  <c r="R180" i="2" s="1"/>
  <c r="Q181" i="2"/>
  <c r="Z181" i="2" s="1"/>
  <c r="P181" i="2"/>
  <c r="O181" i="2"/>
  <c r="BN181" i="2" s="1"/>
  <c r="G181" i="2"/>
  <c r="J181" i="2" s="1"/>
  <c r="BM180" i="2"/>
  <c r="BL180" i="2"/>
  <c r="BK180" i="2"/>
  <c r="BJ180" i="2"/>
  <c r="BI180" i="2"/>
  <c r="BH180" i="2"/>
  <c r="BG180" i="2"/>
  <c r="BF180" i="2"/>
  <c r="BE180" i="2"/>
  <c r="BD180" i="2"/>
  <c r="BC180" i="2"/>
  <c r="BB180" i="2"/>
  <c r="BA180" i="2"/>
  <c r="AZ180" i="2"/>
  <c r="AY180" i="2"/>
  <c r="AX180" i="2"/>
  <c r="AW180" i="2"/>
  <c r="AV180" i="2"/>
  <c r="AU180" i="2"/>
  <c r="AT180" i="2"/>
  <c r="AS180" i="2"/>
  <c r="AR180" i="2"/>
  <c r="AQ180" i="2"/>
  <c r="AP180" i="2"/>
  <c r="AO180" i="2"/>
  <c r="AN180" i="2"/>
  <c r="AM180" i="2"/>
  <c r="AL180" i="2"/>
  <c r="AK180" i="2"/>
  <c r="AJ180" i="2"/>
  <c r="AI180" i="2"/>
  <c r="AH180" i="2"/>
  <c r="AG180" i="2"/>
  <c r="AF180" i="2"/>
  <c r="AE180" i="2"/>
  <c r="AD180" i="2"/>
  <c r="AC180" i="2"/>
  <c r="AB180" i="2"/>
  <c r="AA180" i="2"/>
  <c r="T180" i="2"/>
  <c r="O180" i="2"/>
  <c r="X180" i="2" s="1"/>
  <c r="N180" i="2"/>
  <c r="M180" i="2"/>
  <c r="L180" i="2"/>
  <c r="K180" i="2"/>
  <c r="H180" i="2"/>
  <c r="F180" i="2"/>
  <c r="E180" i="2"/>
  <c r="BO179" i="2"/>
  <c r="T179" i="2"/>
  <c r="S179" i="2"/>
  <c r="R179" i="2"/>
  <c r="Q179" i="2"/>
  <c r="W179" i="2" s="1"/>
  <c r="BR179" i="2" s="1"/>
  <c r="P179" i="2"/>
  <c r="O179" i="2"/>
  <c r="U179" i="2" s="1"/>
  <c r="BQ179" i="2" s="1"/>
  <c r="J179" i="2"/>
  <c r="I179" i="2"/>
  <c r="G179" i="2"/>
  <c r="BT178" i="2"/>
  <c r="BO178" i="2"/>
  <c r="Z178" i="2"/>
  <c r="V178" i="2"/>
  <c r="T178" i="2"/>
  <c r="S178" i="2"/>
  <c r="R178" i="2"/>
  <c r="Q178" i="2"/>
  <c r="W178" i="2" s="1"/>
  <c r="BR178" i="2" s="1"/>
  <c r="P178" i="2"/>
  <c r="Y178" i="2" s="1"/>
  <c r="O178" i="2"/>
  <c r="X178" i="2" s="1"/>
  <c r="J178" i="2"/>
  <c r="I178" i="2"/>
  <c r="G178" i="2"/>
  <c r="BT177" i="2"/>
  <c r="BO177" i="2"/>
  <c r="BO176" i="2" s="1"/>
  <c r="V177" i="2"/>
  <c r="T177" i="2"/>
  <c r="S177" i="2"/>
  <c r="R177" i="2"/>
  <c r="R176" i="2" s="1"/>
  <c r="Q177" i="2"/>
  <c r="Q176" i="2" s="1"/>
  <c r="P177" i="2"/>
  <c r="Y177" i="2" s="1"/>
  <c r="O177" i="2"/>
  <c r="BN177" i="2" s="1"/>
  <c r="E177" i="2"/>
  <c r="G177" i="2" s="1"/>
  <c r="BM176" i="2"/>
  <c r="BM175" i="2" s="1"/>
  <c r="BL176" i="2"/>
  <c r="BK176" i="2"/>
  <c r="BK175" i="2" s="1"/>
  <c r="BJ176" i="2"/>
  <c r="BI176" i="2"/>
  <c r="BH176" i="2"/>
  <c r="BG176" i="2"/>
  <c r="BG175" i="2" s="1"/>
  <c r="BF176" i="2"/>
  <c r="BE176" i="2"/>
  <c r="BE175" i="2" s="1"/>
  <c r="BD176" i="2"/>
  <c r="BC176" i="2"/>
  <c r="BB176" i="2"/>
  <c r="BA176" i="2"/>
  <c r="BA175" i="2" s="1"/>
  <c r="AZ176" i="2"/>
  <c r="AY176" i="2"/>
  <c r="AY175" i="2" s="1"/>
  <c r="AX176" i="2"/>
  <c r="AW176" i="2"/>
  <c r="AV176" i="2"/>
  <c r="AU176" i="2"/>
  <c r="AU175" i="2" s="1"/>
  <c r="AT176" i="2"/>
  <c r="AS176" i="2"/>
  <c r="AS175" i="2" s="1"/>
  <c r="AR176" i="2"/>
  <c r="AQ176" i="2"/>
  <c r="AP176" i="2"/>
  <c r="AO176" i="2"/>
  <c r="AO175" i="2" s="1"/>
  <c r="AN176" i="2"/>
  <c r="AM176" i="2"/>
  <c r="AM175" i="2" s="1"/>
  <c r="AL176" i="2"/>
  <c r="AK176" i="2"/>
  <c r="AJ176" i="2"/>
  <c r="AI176" i="2"/>
  <c r="AI175" i="2" s="1"/>
  <c r="AH176" i="2"/>
  <c r="AG176" i="2"/>
  <c r="AG175" i="2" s="1"/>
  <c r="AF176" i="2"/>
  <c r="AE176" i="2"/>
  <c r="AD176" i="2"/>
  <c r="AC176" i="2"/>
  <c r="AC175" i="2" s="1"/>
  <c r="AB176" i="2"/>
  <c r="AA176" i="2"/>
  <c r="AA175" i="2" s="1"/>
  <c r="Z176" i="2"/>
  <c r="T176" i="2"/>
  <c r="T175" i="2" s="1"/>
  <c r="N176" i="2"/>
  <c r="N175" i="2" s="1"/>
  <c r="M176" i="2"/>
  <c r="L176" i="2"/>
  <c r="K176" i="2"/>
  <c r="K175" i="2" s="1"/>
  <c r="H176" i="2"/>
  <c r="H175" i="2" s="1"/>
  <c r="F176" i="2"/>
  <c r="BI175" i="2"/>
  <c r="BH175" i="2"/>
  <c r="BC175" i="2"/>
  <c r="BB175" i="2"/>
  <c r="AW175" i="2"/>
  <c r="AV175" i="2"/>
  <c r="AQ175" i="2"/>
  <c r="AP175" i="2"/>
  <c r="AK175" i="2"/>
  <c r="AJ175" i="2"/>
  <c r="AE175" i="2"/>
  <c r="AD175" i="2"/>
  <c r="M175" i="2"/>
  <c r="BT174" i="2"/>
  <c r="BO174" i="2"/>
  <c r="V174" i="2"/>
  <c r="T174" i="2"/>
  <c r="S174" i="2"/>
  <c r="R174" i="2"/>
  <c r="Q174" i="2"/>
  <c r="W174" i="2" s="1"/>
  <c r="BR174" i="2" s="1"/>
  <c r="P174" i="2"/>
  <c r="Y174" i="2" s="1"/>
  <c r="O174" i="2"/>
  <c r="X174" i="2" s="1"/>
  <c r="G174" i="2"/>
  <c r="I174" i="2" s="1"/>
  <c r="BU173" i="2"/>
  <c r="BO173" i="2"/>
  <c r="X173" i="2"/>
  <c r="V173" i="2"/>
  <c r="BT173" i="2" s="1"/>
  <c r="T173" i="2"/>
  <c r="S173" i="2"/>
  <c r="R173" i="2"/>
  <c r="Q173" i="2"/>
  <c r="Z173" i="2" s="1"/>
  <c r="P173" i="2"/>
  <c r="Y173" i="2" s="1"/>
  <c r="O173" i="2"/>
  <c r="BN173" i="2" s="1"/>
  <c r="BP173" i="2" s="1"/>
  <c r="G173" i="2"/>
  <c r="J173" i="2" s="1"/>
  <c r="Y172" i="2"/>
  <c r="X172" i="2"/>
  <c r="W172" i="2"/>
  <c r="BR172" i="2" s="1"/>
  <c r="T172" i="2"/>
  <c r="S172" i="2"/>
  <c r="V172" i="2" s="1"/>
  <c r="BT172" i="2" s="1"/>
  <c r="R172" i="2"/>
  <c r="Q172" i="2"/>
  <c r="P172" i="2"/>
  <c r="O172" i="2"/>
  <c r="BN172" i="2" s="1"/>
  <c r="G172" i="2"/>
  <c r="J172" i="2" s="1"/>
  <c r="Z171" i="2"/>
  <c r="Y171" i="2"/>
  <c r="X171" i="2"/>
  <c r="T171" i="2"/>
  <c r="S171" i="2"/>
  <c r="V171" i="2" s="1"/>
  <c r="BT171" i="2" s="1"/>
  <c r="R171" i="2"/>
  <c r="Q171" i="2"/>
  <c r="BO171" i="2" s="1"/>
  <c r="P171" i="2"/>
  <c r="O171" i="2"/>
  <c r="BN171" i="2" s="1"/>
  <c r="BP171" i="2" s="1"/>
  <c r="BU171" i="2" s="1"/>
  <c r="G171" i="2"/>
  <c r="BO170" i="2"/>
  <c r="Z170" i="2"/>
  <c r="Y170" i="2"/>
  <c r="T170" i="2"/>
  <c r="S170" i="2"/>
  <c r="V170" i="2" s="1"/>
  <c r="BT170" i="2" s="1"/>
  <c r="R170" i="2"/>
  <c r="Q170" i="2"/>
  <c r="W170" i="2" s="1"/>
  <c r="BR170" i="2" s="1"/>
  <c r="P170" i="2"/>
  <c r="O170" i="2"/>
  <c r="BN170" i="2" s="1"/>
  <c r="BP170" i="2" s="1"/>
  <c r="J170" i="2"/>
  <c r="I170" i="2"/>
  <c r="G170" i="2"/>
  <c r="AB169" i="2"/>
  <c r="T169" i="2"/>
  <c r="R169" i="2"/>
  <c r="Q169" i="2"/>
  <c r="BO169" i="2" s="1"/>
  <c r="O169" i="2"/>
  <c r="U169" i="2" s="1"/>
  <c r="BQ169" i="2" s="1"/>
  <c r="G169" i="2"/>
  <c r="I169" i="2" s="1"/>
  <c r="BO168" i="2"/>
  <c r="X168" i="2"/>
  <c r="V168" i="2"/>
  <c r="BT168" i="2" s="1"/>
  <c r="T168" i="2"/>
  <c r="S168" i="2"/>
  <c r="R168" i="2"/>
  <c r="Q168" i="2"/>
  <c r="Z168" i="2" s="1"/>
  <c r="P168" i="2"/>
  <c r="O168" i="2"/>
  <c r="BN168" i="2" s="1"/>
  <c r="G168" i="2"/>
  <c r="J168" i="2" s="1"/>
  <c r="Y167" i="2"/>
  <c r="X167" i="2"/>
  <c r="T167" i="2"/>
  <c r="T166" i="2" s="1"/>
  <c r="S167" i="2"/>
  <c r="R167" i="2"/>
  <c r="Q167" i="2"/>
  <c r="W167" i="2" s="1"/>
  <c r="P167" i="2"/>
  <c r="O167" i="2"/>
  <c r="BN167" i="2" s="1"/>
  <c r="G167" i="2"/>
  <c r="G166" i="2" s="1"/>
  <c r="J166" i="2" s="1"/>
  <c r="BM166" i="2"/>
  <c r="BL166" i="2"/>
  <c r="BK166" i="2"/>
  <c r="BJ166" i="2"/>
  <c r="BI166" i="2"/>
  <c r="BH166" i="2"/>
  <c r="BG166" i="2"/>
  <c r="BF166" i="2"/>
  <c r="BE166" i="2"/>
  <c r="BD166" i="2"/>
  <c r="BC166" i="2"/>
  <c r="BB166" i="2"/>
  <c r="BA166" i="2"/>
  <c r="AZ166" i="2"/>
  <c r="AY166" i="2"/>
  <c r="AX166" i="2"/>
  <c r="AW166" i="2"/>
  <c r="AV166" i="2"/>
  <c r="AU166" i="2"/>
  <c r="AT166" i="2"/>
  <c r="AS166" i="2"/>
  <c r="AR166" i="2"/>
  <c r="AQ166" i="2"/>
  <c r="AP166" i="2"/>
  <c r="AO166" i="2"/>
  <c r="AN166" i="2"/>
  <c r="AM166" i="2"/>
  <c r="AL166" i="2"/>
  <c r="AK166" i="2"/>
  <c r="AJ166" i="2"/>
  <c r="AI166" i="2"/>
  <c r="AH166" i="2"/>
  <c r="AG166" i="2"/>
  <c r="AF166" i="2"/>
  <c r="AE166" i="2"/>
  <c r="AD166" i="2"/>
  <c r="AC166" i="2"/>
  <c r="AA166" i="2"/>
  <c r="O166" i="2"/>
  <c r="X166" i="2" s="1"/>
  <c r="N166" i="2"/>
  <c r="M166" i="2"/>
  <c r="L166" i="2"/>
  <c r="K166" i="2"/>
  <c r="H166" i="2"/>
  <c r="F166" i="2"/>
  <c r="E166" i="2"/>
  <c r="Y165" i="2"/>
  <c r="X165" i="2"/>
  <c r="T165" i="2"/>
  <c r="S165" i="2"/>
  <c r="V165" i="2" s="1"/>
  <c r="BT165" i="2" s="1"/>
  <c r="R165" i="2"/>
  <c r="Q165" i="2"/>
  <c r="W165" i="2" s="1"/>
  <c r="BR165" i="2" s="1"/>
  <c r="P165" i="2"/>
  <c r="O165" i="2"/>
  <c r="BN165" i="2" s="1"/>
  <c r="G165" i="2"/>
  <c r="J165" i="2" s="1"/>
  <c r="Z164" i="2"/>
  <c r="Y164" i="2"/>
  <c r="X164" i="2"/>
  <c r="T164" i="2"/>
  <c r="S164" i="2"/>
  <c r="V164" i="2" s="1"/>
  <c r="BT164" i="2" s="1"/>
  <c r="R164" i="2"/>
  <c r="Q164" i="2"/>
  <c r="BO164" i="2" s="1"/>
  <c r="P164" i="2"/>
  <c r="O164" i="2"/>
  <c r="BN164" i="2" s="1"/>
  <c r="G164" i="2"/>
  <c r="E164" i="2"/>
  <c r="BT163" i="2"/>
  <c r="BO163" i="2"/>
  <c r="Z163" i="2"/>
  <c r="V163" i="2"/>
  <c r="T163" i="2"/>
  <c r="T162" i="2" s="1"/>
  <c r="S163" i="2"/>
  <c r="R163" i="2"/>
  <c r="Q163" i="2"/>
  <c r="W163" i="2" s="1"/>
  <c r="P163" i="2"/>
  <c r="P162" i="2" s="1"/>
  <c r="Y162" i="2" s="1"/>
  <c r="O163" i="2"/>
  <c r="X163" i="2" s="1"/>
  <c r="J163" i="2"/>
  <c r="I163" i="2"/>
  <c r="G163" i="2"/>
  <c r="BT162" i="2"/>
  <c r="BM162" i="2"/>
  <c r="BL162" i="2"/>
  <c r="BK162" i="2"/>
  <c r="BK158" i="2" s="1"/>
  <c r="BJ162" i="2"/>
  <c r="BI162" i="2"/>
  <c r="BH162" i="2"/>
  <c r="BG162" i="2"/>
  <c r="BF162" i="2"/>
  <c r="BE162" i="2"/>
  <c r="BE158" i="2" s="1"/>
  <c r="BD162" i="2"/>
  <c r="BC162" i="2"/>
  <c r="BB162" i="2"/>
  <c r="BA162" i="2"/>
  <c r="AZ162" i="2"/>
  <c r="AY162" i="2"/>
  <c r="AY158" i="2" s="1"/>
  <c r="AX162" i="2"/>
  <c r="AW162" i="2"/>
  <c r="AV162" i="2"/>
  <c r="AU162" i="2"/>
  <c r="AT162" i="2"/>
  <c r="AS162" i="2"/>
  <c r="AS158" i="2" s="1"/>
  <c r="AR162" i="2"/>
  <c r="AQ162" i="2"/>
  <c r="AP162" i="2"/>
  <c r="AO162" i="2"/>
  <c r="AN162" i="2"/>
  <c r="AM162" i="2"/>
  <c r="AM158" i="2" s="1"/>
  <c r="AL162" i="2"/>
  <c r="AK162" i="2"/>
  <c r="AJ162" i="2"/>
  <c r="AI162" i="2"/>
  <c r="AH162" i="2"/>
  <c r="AG162" i="2"/>
  <c r="AF162" i="2"/>
  <c r="AE162" i="2"/>
  <c r="AD162" i="2"/>
  <c r="AC162" i="2"/>
  <c r="AB162" i="2"/>
  <c r="AA162" i="2"/>
  <c r="AA158" i="2" s="1"/>
  <c r="S162" i="2"/>
  <c r="R162" i="2"/>
  <c r="N162" i="2"/>
  <c r="M162" i="2"/>
  <c r="L162" i="2"/>
  <c r="K162" i="2"/>
  <c r="H162" i="2"/>
  <c r="F162" i="2"/>
  <c r="E162" i="2"/>
  <c r="BT161" i="2"/>
  <c r="BO161" i="2"/>
  <c r="Z161" i="2"/>
  <c r="V161" i="2"/>
  <c r="T161" i="2"/>
  <c r="S161" i="2"/>
  <c r="R161" i="2"/>
  <c r="Q161" i="2"/>
  <c r="W161" i="2" s="1"/>
  <c r="BR161" i="2" s="1"/>
  <c r="P161" i="2"/>
  <c r="Y161" i="2" s="1"/>
  <c r="O161" i="2"/>
  <c r="X161" i="2" s="1"/>
  <c r="E161" i="2"/>
  <c r="G161" i="2" s="1"/>
  <c r="J161" i="2" s="1"/>
  <c r="BO160" i="2"/>
  <c r="BO159" i="2" s="1"/>
  <c r="AP160" i="2"/>
  <c r="AG160" i="2"/>
  <c r="AG159" i="2" s="1"/>
  <c r="AG158" i="2" s="1"/>
  <c r="Z160" i="2"/>
  <c r="Y160" i="2"/>
  <c r="X160" i="2"/>
  <c r="T160" i="2"/>
  <c r="T159" i="2" s="1"/>
  <c r="S160" i="2"/>
  <c r="V160" i="2" s="1"/>
  <c r="R160" i="2"/>
  <c r="R159" i="2" s="1"/>
  <c r="Q160" i="2"/>
  <c r="W160" i="2" s="1"/>
  <c r="BR160" i="2" s="1"/>
  <c r="BR159" i="2" s="1"/>
  <c r="P160" i="2"/>
  <c r="O160" i="2"/>
  <c r="O159" i="2" s="1"/>
  <c r="K160" i="2"/>
  <c r="U160" i="2" s="1"/>
  <c r="J160" i="2"/>
  <c r="I160" i="2"/>
  <c r="G160" i="2"/>
  <c r="BM159" i="2"/>
  <c r="BM158" i="2" s="1"/>
  <c r="BL159" i="2"/>
  <c r="BK159" i="2"/>
  <c r="BJ159" i="2"/>
  <c r="BJ158" i="2" s="1"/>
  <c r="BI159" i="2"/>
  <c r="BI158" i="2" s="1"/>
  <c r="BH159" i="2"/>
  <c r="BH158" i="2" s="1"/>
  <c r="BG159" i="2"/>
  <c r="BG158" i="2" s="1"/>
  <c r="BF159" i="2"/>
  <c r="BE159" i="2"/>
  <c r="BD159" i="2"/>
  <c r="BD158" i="2" s="1"/>
  <c r="BC159" i="2"/>
  <c r="BC158" i="2" s="1"/>
  <c r="BC157" i="2" s="1"/>
  <c r="BB159" i="2"/>
  <c r="BB158" i="2" s="1"/>
  <c r="BB157" i="2" s="1"/>
  <c r="BA159" i="2"/>
  <c r="BA158" i="2" s="1"/>
  <c r="AZ159" i="2"/>
  <c r="AY159" i="2"/>
  <c r="AX159" i="2"/>
  <c r="AX158" i="2" s="1"/>
  <c r="AW159" i="2"/>
  <c r="AW158" i="2" s="1"/>
  <c r="AV159" i="2"/>
  <c r="AV158" i="2" s="1"/>
  <c r="AV157" i="2" s="1"/>
  <c r="AU159" i="2"/>
  <c r="AU158" i="2" s="1"/>
  <c r="AT159" i="2"/>
  <c r="AS159" i="2"/>
  <c r="AR159" i="2"/>
  <c r="AR158" i="2" s="1"/>
  <c r="AQ159" i="2"/>
  <c r="AQ158" i="2" s="1"/>
  <c r="AP159" i="2"/>
  <c r="AP158" i="2" s="1"/>
  <c r="AO159" i="2"/>
  <c r="AO158" i="2" s="1"/>
  <c r="AN159" i="2"/>
  <c r="AM159" i="2"/>
  <c r="AL159" i="2"/>
  <c r="AL158" i="2" s="1"/>
  <c r="AK159" i="2"/>
  <c r="AK158" i="2" s="1"/>
  <c r="AK157" i="2" s="1"/>
  <c r="AJ159" i="2"/>
  <c r="AJ158" i="2" s="1"/>
  <c r="AJ157" i="2" s="1"/>
  <c r="AI159" i="2"/>
  <c r="AI158" i="2" s="1"/>
  <c r="AH159" i="2"/>
  <c r="AF159" i="2"/>
  <c r="AF158" i="2" s="1"/>
  <c r="AE159" i="2"/>
  <c r="AE158" i="2" s="1"/>
  <c r="AD159" i="2"/>
  <c r="AD158" i="2" s="1"/>
  <c r="AC159" i="2"/>
  <c r="AC158" i="2" s="1"/>
  <c r="AB159" i="2"/>
  <c r="AA159" i="2"/>
  <c r="W159" i="2"/>
  <c r="Q159" i="2"/>
  <c r="N159" i="2"/>
  <c r="N158" i="2" s="1"/>
  <c r="M159" i="2"/>
  <c r="M158" i="2" s="1"/>
  <c r="L159" i="2"/>
  <c r="L158" i="2" s="1"/>
  <c r="K159" i="2"/>
  <c r="K158" i="2" s="1"/>
  <c r="H159" i="2"/>
  <c r="H158" i="2" s="1"/>
  <c r="H157" i="2" s="1"/>
  <c r="F159" i="2"/>
  <c r="F158" i="2" s="1"/>
  <c r="F157" i="2" s="1"/>
  <c r="E159" i="2"/>
  <c r="E158" i="2" s="1"/>
  <c r="BL158" i="2"/>
  <c r="BF158" i="2"/>
  <c r="AZ158" i="2"/>
  <c r="AT158" i="2"/>
  <c r="AN158" i="2"/>
  <c r="AH158" i="2"/>
  <c r="Y155" i="2"/>
  <c r="X155" i="2"/>
  <c r="W155" i="2"/>
  <c r="T155" i="2"/>
  <c r="T154" i="2" s="1"/>
  <c r="S155" i="2"/>
  <c r="S154" i="2" s="1"/>
  <c r="R155" i="2"/>
  <c r="R154" i="2" s="1"/>
  <c r="Q155" i="2"/>
  <c r="P155" i="2"/>
  <c r="O155" i="2"/>
  <c r="BN155" i="2" s="1"/>
  <c r="BN154" i="2" s="1"/>
  <c r="G155" i="2"/>
  <c r="G154" i="2" s="1"/>
  <c r="J154" i="2" s="1"/>
  <c r="BM154" i="2"/>
  <c r="BL154" i="2"/>
  <c r="BK154" i="2"/>
  <c r="BJ154" i="2"/>
  <c r="BI154" i="2"/>
  <c r="BH154" i="2"/>
  <c r="BG154" i="2"/>
  <c r="BF154" i="2"/>
  <c r="BE154" i="2"/>
  <c r="BD154" i="2"/>
  <c r="BC154" i="2"/>
  <c r="BB154" i="2"/>
  <c r="BA154" i="2"/>
  <c r="AZ154" i="2"/>
  <c r="AY154" i="2"/>
  <c r="AX154" i="2"/>
  <c r="AW154" i="2"/>
  <c r="AV154" i="2"/>
  <c r="AU154" i="2"/>
  <c r="AT154" i="2"/>
  <c r="AS154" i="2"/>
  <c r="AR154" i="2"/>
  <c r="AQ154" i="2"/>
  <c r="AP154" i="2"/>
  <c r="AO154" i="2"/>
  <c r="AN154" i="2"/>
  <c r="AM154" i="2"/>
  <c r="AL154" i="2"/>
  <c r="AK154" i="2"/>
  <c r="AJ154" i="2"/>
  <c r="AI154" i="2"/>
  <c r="AH154" i="2"/>
  <c r="AG154" i="2"/>
  <c r="AF154" i="2"/>
  <c r="AE154" i="2"/>
  <c r="AD154" i="2"/>
  <c r="AC154" i="2"/>
  <c r="AB154" i="2"/>
  <c r="AA154" i="2"/>
  <c r="P154" i="2"/>
  <c r="Y154" i="2" s="1"/>
  <c r="O154" i="2"/>
  <c r="X154" i="2" s="1"/>
  <c r="N154" i="2"/>
  <c r="M154" i="2"/>
  <c r="L154" i="2"/>
  <c r="K154" i="2"/>
  <c r="I154" i="2"/>
  <c r="H154" i="2"/>
  <c r="F154" i="2"/>
  <c r="E154" i="2"/>
  <c r="AB153" i="2"/>
  <c r="P153" i="2" s="1"/>
  <c r="Y153" i="2" s="1"/>
  <c r="Z153" i="2"/>
  <c r="X153" i="2"/>
  <c r="T153" i="2"/>
  <c r="S153" i="2"/>
  <c r="V153" i="2" s="1"/>
  <c r="BT153" i="2" s="1"/>
  <c r="R153" i="2"/>
  <c r="Q153" i="2"/>
  <c r="BO153" i="2" s="1"/>
  <c r="O153" i="2"/>
  <c r="BN153" i="2" s="1"/>
  <c r="BP153" i="2" s="1"/>
  <c r="G153" i="2"/>
  <c r="AB152" i="2"/>
  <c r="AB151" i="2" s="1"/>
  <c r="AB141" i="2" s="1"/>
  <c r="Z152" i="2"/>
  <c r="T152" i="2"/>
  <c r="T151" i="2" s="1"/>
  <c r="R152" i="2"/>
  <c r="Q152" i="2"/>
  <c r="BO152" i="2" s="1"/>
  <c r="O152" i="2"/>
  <c r="X152" i="2" s="1"/>
  <c r="J152" i="2"/>
  <c r="G152" i="2"/>
  <c r="I152" i="2" s="1"/>
  <c r="BM151" i="2"/>
  <c r="BL151" i="2"/>
  <c r="BK151" i="2"/>
  <c r="BJ151" i="2"/>
  <c r="BI151" i="2"/>
  <c r="BH151" i="2"/>
  <c r="BG151" i="2"/>
  <c r="BF151" i="2"/>
  <c r="BE151" i="2"/>
  <c r="BD151" i="2"/>
  <c r="BC151" i="2"/>
  <c r="BB151" i="2"/>
  <c r="BA151" i="2"/>
  <c r="AZ151" i="2"/>
  <c r="AY151" i="2"/>
  <c r="AX151" i="2"/>
  <c r="AW151" i="2"/>
  <c r="AV151" i="2"/>
  <c r="AU151" i="2"/>
  <c r="AT151" i="2"/>
  <c r="AS151" i="2"/>
  <c r="AR151" i="2"/>
  <c r="AQ151" i="2"/>
  <c r="AP151" i="2"/>
  <c r="AO151" i="2"/>
  <c r="AN151" i="2"/>
  <c r="AM151" i="2"/>
  <c r="AL151" i="2"/>
  <c r="AK151" i="2"/>
  <c r="AJ151" i="2"/>
  <c r="AI151" i="2"/>
  <c r="AH151" i="2"/>
  <c r="AG151" i="2"/>
  <c r="AF151" i="2"/>
  <c r="AE151" i="2"/>
  <c r="AD151" i="2"/>
  <c r="AC151" i="2"/>
  <c r="AA151" i="2"/>
  <c r="R151" i="2"/>
  <c r="N151" i="2"/>
  <c r="M151" i="2"/>
  <c r="L151" i="2"/>
  <c r="K151" i="2"/>
  <c r="H151" i="2"/>
  <c r="F151" i="2"/>
  <c r="E151" i="2"/>
  <c r="BT150" i="2"/>
  <c r="BO150" i="2"/>
  <c r="Z150" i="2"/>
  <c r="V150" i="2"/>
  <c r="V149" i="2" s="1"/>
  <c r="T150" i="2"/>
  <c r="T149" i="2" s="1"/>
  <c r="S150" i="2"/>
  <c r="R150" i="2"/>
  <c r="Q150" i="2"/>
  <c r="W150" i="2" s="1"/>
  <c r="P150" i="2"/>
  <c r="P149" i="2" s="1"/>
  <c r="Y149" i="2" s="1"/>
  <c r="O150" i="2"/>
  <c r="X150" i="2" s="1"/>
  <c r="J150" i="2"/>
  <c r="G150" i="2"/>
  <c r="I150" i="2" s="1"/>
  <c r="BT149" i="2"/>
  <c r="BO149" i="2"/>
  <c r="BM149" i="2"/>
  <c r="BL149" i="2"/>
  <c r="BK149" i="2"/>
  <c r="BJ149" i="2"/>
  <c r="BI149" i="2"/>
  <c r="BI141" i="2" s="1"/>
  <c r="BH149" i="2"/>
  <c r="BG149" i="2"/>
  <c r="BF149" i="2"/>
  <c r="BE149" i="2"/>
  <c r="BD149" i="2"/>
  <c r="BC149" i="2"/>
  <c r="BC141" i="2" s="1"/>
  <c r="BB149" i="2"/>
  <c r="BA149" i="2"/>
  <c r="AZ149" i="2"/>
  <c r="AY149" i="2"/>
  <c r="AX149" i="2"/>
  <c r="AW149" i="2"/>
  <c r="AW141" i="2" s="1"/>
  <c r="AV149" i="2"/>
  <c r="AU149" i="2"/>
  <c r="AT149" i="2"/>
  <c r="AS149" i="2"/>
  <c r="AR149" i="2"/>
  <c r="AQ149" i="2"/>
  <c r="AQ141" i="2" s="1"/>
  <c r="AP149" i="2"/>
  <c r="AO149" i="2"/>
  <c r="AN149" i="2"/>
  <c r="AM149" i="2"/>
  <c r="AL149" i="2"/>
  <c r="AK149" i="2"/>
  <c r="AK141" i="2" s="1"/>
  <c r="AJ149" i="2"/>
  <c r="AI149" i="2"/>
  <c r="AH149" i="2"/>
  <c r="AG149" i="2"/>
  <c r="AF149" i="2"/>
  <c r="AE149" i="2"/>
  <c r="AE141" i="2" s="1"/>
  <c r="AD149" i="2"/>
  <c r="AC149" i="2"/>
  <c r="AB149" i="2"/>
  <c r="AA149" i="2"/>
  <c r="S149" i="2"/>
  <c r="R149" i="2"/>
  <c r="N149" i="2"/>
  <c r="M149" i="2"/>
  <c r="M141" i="2" s="1"/>
  <c r="L149" i="2"/>
  <c r="K149" i="2"/>
  <c r="H149" i="2"/>
  <c r="G149" i="2"/>
  <c r="J149" i="2" s="1"/>
  <c r="F149" i="2"/>
  <c r="E149" i="2"/>
  <c r="AN148" i="2"/>
  <c r="T148" i="2"/>
  <c r="R148" i="2"/>
  <c r="Q148" i="2"/>
  <c r="BO148" i="2" s="1"/>
  <c r="O148" i="2"/>
  <c r="U148" i="2" s="1"/>
  <c r="BQ148" i="2" s="1"/>
  <c r="G148" i="2"/>
  <c r="I148" i="2" s="1"/>
  <c r="BO147" i="2"/>
  <c r="BO146" i="2" s="1"/>
  <c r="X147" i="2"/>
  <c r="V147" i="2"/>
  <c r="T147" i="2"/>
  <c r="S147" i="2"/>
  <c r="R147" i="2"/>
  <c r="R146" i="2" s="1"/>
  <c r="Q147" i="2"/>
  <c r="Z147" i="2" s="1"/>
  <c r="P147" i="2"/>
  <c r="O147" i="2"/>
  <c r="BN147" i="2" s="1"/>
  <c r="G147" i="2"/>
  <c r="J147" i="2" s="1"/>
  <c r="BM146" i="2"/>
  <c r="BL146" i="2"/>
  <c r="BK146" i="2"/>
  <c r="BJ146" i="2"/>
  <c r="BJ141" i="2" s="1"/>
  <c r="BI146" i="2"/>
  <c r="BH146" i="2"/>
  <c r="BG146" i="2"/>
  <c r="BF146" i="2"/>
  <c r="BE146" i="2"/>
  <c r="BD146" i="2"/>
  <c r="BD141" i="2" s="1"/>
  <c r="BC146" i="2"/>
  <c r="BB146" i="2"/>
  <c r="BA146" i="2"/>
  <c r="AZ146" i="2"/>
  <c r="AY146" i="2"/>
  <c r="AX146" i="2"/>
  <c r="AW146" i="2"/>
  <c r="AV146" i="2"/>
  <c r="AU146" i="2"/>
  <c r="AT146" i="2"/>
  <c r="AS146" i="2"/>
  <c r="AR146" i="2"/>
  <c r="AR141" i="2" s="1"/>
  <c r="AQ146" i="2"/>
  <c r="AP146" i="2"/>
  <c r="AO146" i="2"/>
  <c r="AM146" i="2"/>
  <c r="AL146" i="2"/>
  <c r="AK146" i="2"/>
  <c r="AJ146" i="2"/>
  <c r="AI146" i="2"/>
  <c r="AH146" i="2"/>
  <c r="AG146" i="2"/>
  <c r="AF146" i="2"/>
  <c r="AE146" i="2"/>
  <c r="AD146" i="2"/>
  <c r="AC146" i="2"/>
  <c r="AB146" i="2"/>
  <c r="AA146" i="2"/>
  <c r="T146" i="2"/>
  <c r="N146" i="2"/>
  <c r="M146" i="2"/>
  <c r="L146" i="2"/>
  <c r="K146" i="2"/>
  <c r="H146" i="2"/>
  <c r="F146" i="2"/>
  <c r="E146" i="2"/>
  <c r="BO145" i="2"/>
  <c r="BO144" i="2" s="1"/>
  <c r="AB145" i="2"/>
  <c r="Y145" i="2"/>
  <c r="X145" i="2"/>
  <c r="T145" i="2"/>
  <c r="T144" i="2" s="1"/>
  <c r="S145" i="2"/>
  <c r="S144" i="2" s="1"/>
  <c r="R145" i="2"/>
  <c r="R144" i="2" s="1"/>
  <c r="Q145" i="2"/>
  <c r="P145" i="2"/>
  <c r="O145" i="2"/>
  <c r="U145" i="2" s="1"/>
  <c r="BQ145" i="2" s="1"/>
  <c r="G145" i="2"/>
  <c r="G144" i="2" s="1"/>
  <c r="J144" i="2" s="1"/>
  <c r="BQ144" i="2"/>
  <c r="BM144" i="2"/>
  <c r="BL144" i="2"/>
  <c r="BK144" i="2"/>
  <c r="BJ144" i="2"/>
  <c r="BI144" i="2"/>
  <c r="BH144" i="2"/>
  <c r="BG144" i="2"/>
  <c r="BF144" i="2"/>
  <c r="BE144" i="2"/>
  <c r="BD144" i="2"/>
  <c r="BC144" i="2"/>
  <c r="BB144" i="2"/>
  <c r="BA144" i="2"/>
  <c r="AZ144" i="2"/>
  <c r="AY144" i="2"/>
  <c r="AX144" i="2"/>
  <c r="AW144" i="2"/>
  <c r="AV144" i="2"/>
  <c r="AU144" i="2"/>
  <c r="AT144" i="2"/>
  <c r="AS144" i="2"/>
  <c r="AR144" i="2"/>
  <c r="AQ144" i="2"/>
  <c r="AP144" i="2"/>
  <c r="AO144" i="2"/>
  <c r="AN144" i="2"/>
  <c r="AM144" i="2"/>
  <c r="AL144" i="2"/>
  <c r="AK144" i="2"/>
  <c r="AJ144" i="2"/>
  <c r="AI144" i="2"/>
  <c r="AH144" i="2"/>
  <c r="AG144" i="2"/>
  <c r="AF144" i="2"/>
  <c r="AE144" i="2"/>
  <c r="AD144" i="2"/>
  <c r="AC144" i="2"/>
  <c r="AB144" i="2"/>
  <c r="AA144" i="2"/>
  <c r="U144" i="2"/>
  <c r="P144" i="2"/>
  <c r="Y144" i="2" s="1"/>
  <c r="O144" i="2"/>
  <c r="X144" i="2" s="1"/>
  <c r="N144" i="2"/>
  <c r="M144" i="2"/>
  <c r="L144" i="2"/>
  <c r="K144" i="2"/>
  <c r="I144" i="2"/>
  <c r="H144" i="2"/>
  <c r="F144" i="2"/>
  <c r="E144" i="2"/>
  <c r="Y143" i="2"/>
  <c r="X143" i="2"/>
  <c r="T143" i="2"/>
  <c r="T142" i="2" s="1"/>
  <c r="T141" i="2" s="1"/>
  <c r="S143" i="2"/>
  <c r="S142" i="2" s="1"/>
  <c r="R143" i="2"/>
  <c r="R142" i="2" s="1"/>
  <c r="Q143" i="2"/>
  <c r="W143" i="2" s="1"/>
  <c r="P143" i="2"/>
  <c r="O143" i="2"/>
  <c r="BN143" i="2" s="1"/>
  <c r="BN142" i="2" s="1"/>
  <c r="G143" i="2"/>
  <c r="G142" i="2" s="1"/>
  <c r="I142" i="2" s="1"/>
  <c r="BM142" i="2"/>
  <c r="BM141" i="2" s="1"/>
  <c r="BL142" i="2"/>
  <c r="BK142" i="2"/>
  <c r="BJ142" i="2"/>
  <c r="BI142" i="2"/>
  <c r="BH142" i="2"/>
  <c r="BG142" i="2"/>
  <c r="BG141" i="2" s="1"/>
  <c r="BF142" i="2"/>
  <c r="BE142" i="2"/>
  <c r="BD142" i="2"/>
  <c r="BC142" i="2"/>
  <c r="BB142" i="2"/>
  <c r="BA142" i="2"/>
  <c r="BA141" i="2" s="1"/>
  <c r="AZ142" i="2"/>
  <c r="AY142" i="2"/>
  <c r="AX142" i="2"/>
  <c r="AW142" i="2"/>
  <c r="AV142" i="2"/>
  <c r="AU142" i="2"/>
  <c r="AU141" i="2" s="1"/>
  <c r="AT142" i="2"/>
  <c r="AS142" i="2"/>
  <c r="AR142" i="2"/>
  <c r="AQ142" i="2"/>
  <c r="AP142" i="2"/>
  <c r="AO142" i="2"/>
  <c r="AO141" i="2" s="1"/>
  <c r="AN142" i="2"/>
  <c r="AM142" i="2"/>
  <c r="AL142" i="2"/>
  <c r="AK142" i="2"/>
  <c r="AJ142" i="2"/>
  <c r="AI142" i="2"/>
  <c r="AI141" i="2" s="1"/>
  <c r="AH142" i="2"/>
  <c r="AG142" i="2"/>
  <c r="AF142" i="2"/>
  <c r="AE142" i="2"/>
  <c r="AD142" i="2"/>
  <c r="AC142" i="2"/>
  <c r="AC141" i="2" s="1"/>
  <c r="AB142" i="2"/>
  <c r="AA142" i="2"/>
  <c r="P142" i="2"/>
  <c r="Y142" i="2" s="1"/>
  <c r="O142" i="2"/>
  <c r="N142" i="2"/>
  <c r="M142" i="2"/>
  <c r="L142" i="2"/>
  <c r="K142" i="2"/>
  <c r="K141" i="2" s="1"/>
  <c r="H142" i="2"/>
  <c r="F142" i="2"/>
  <c r="F141" i="2" s="1"/>
  <c r="E142" i="2"/>
  <c r="E141" i="2" s="1"/>
  <c r="BL141" i="2"/>
  <c r="BF141" i="2"/>
  <c r="AZ141" i="2"/>
  <c r="AX141" i="2"/>
  <c r="AT141" i="2"/>
  <c r="AL141" i="2"/>
  <c r="AH141" i="2"/>
  <c r="AF141" i="2"/>
  <c r="N141" i="2"/>
  <c r="O793" i="2" s="1"/>
  <c r="H141" i="2"/>
  <c r="BO140" i="2"/>
  <c r="BO139" i="2" s="1"/>
  <c r="X140" i="2"/>
  <c r="V140" i="2"/>
  <c r="T140" i="2"/>
  <c r="S140" i="2"/>
  <c r="S139" i="2" s="1"/>
  <c r="R140" i="2"/>
  <c r="R139" i="2" s="1"/>
  <c r="Q140" i="2"/>
  <c r="Z140" i="2" s="1"/>
  <c r="P140" i="2"/>
  <c r="O140" i="2"/>
  <c r="BN140" i="2" s="1"/>
  <c r="G140" i="2"/>
  <c r="J140" i="2" s="1"/>
  <c r="BM139" i="2"/>
  <c r="BL139" i="2"/>
  <c r="BK139" i="2"/>
  <c r="BJ139" i="2"/>
  <c r="BI139" i="2"/>
  <c r="BH139" i="2"/>
  <c r="BG139" i="2"/>
  <c r="BF139" i="2"/>
  <c r="BE139" i="2"/>
  <c r="BD139" i="2"/>
  <c r="BC139" i="2"/>
  <c r="BB139" i="2"/>
  <c r="BA139" i="2"/>
  <c r="AZ139" i="2"/>
  <c r="AY139" i="2"/>
  <c r="AX139" i="2"/>
  <c r="AW139" i="2"/>
  <c r="AV139" i="2"/>
  <c r="AU139" i="2"/>
  <c r="AT139" i="2"/>
  <c r="AS139" i="2"/>
  <c r="AR139" i="2"/>
  <c r="AQ139" i="2"/>
  <c r="AP139" i="2"/>
  <c r="AO139" i="2"/>
  <c r="AN139" i="2"/>
  <c r="AM139" i="2"/>
  <c r="AL139" i="2"/>
  <c r="AK139" i="2"/>
  <c r="AJ139" i="2"/>
  <c r="AI139" i="2"/>
  <c r="AH139" i="2"/>
  <c r="AG139" i="2"/>
  <c r="AF139" i="2"/>
  <c r="AE139" i="2"/>
  <c r="AD139" i="2"/>
  <c r="AC139" i="2"/>
  <c r="AB139" i="2"/>
  <c r="AA139" i="2"/>
  <c r="T139" i="2"/>
  <c r="O139" i="2"/>
  <c r="X139" i="2" s="1"/>
  <c r="N139" i="2"/>
  <c r="M139" i="2"/>
  <c r="L139" i="2"/>
  <c r="K139" i="2"/>
  <c r="H139" i="2"/>
  <c r="F139" i="2"/>
  <c r="E139" i="2"/>
  <c r="BO138" i="2"/>
  <c r="X138" i="2"/>
  <c r="V138" i="2"/>
  <c r="BT138" i="2" s="1"/>
  <c r="T138" i="2"/>
  <c r="S138" i="2"/>
  <c r="R138" i="2"/>
  <c r="Q138" i="2"/>
  <c r="Z138" i="2" s="1"/>
  <c r="P138" i="2"/>
  <c r="Y138" i="2" s="1"/>
  <c r="O138" i="2"/>
  <c r="BN138" i="2" s="1"/>
  <c r="BP138" i="2" s="1"/>
  <c r="G138" i="2"/>
  <c r="J138" i="2" s="1"/>
  <c r="Y137" i="2"/>
  <c r="X137" i="2"/>
  <c r="W137" i="2"/>
  <c r="BR137" i="2" s="1"/>
  <c r="T137" i="2"/>
  <c r="S137" i="2"/>
  <c r="V137" i="2" s="1"/>
  <c r="BT137" i="2" s="1"/>
  <c r="R137" i="2"/>
  <c r="Q137" i="2"/>
  <c r="P137" i="2"/>
  <c r="O137" i="2"/>
  <c r="BN137" i="2" s="1"/>
  <c r="I137" i="2"/>
  <c r="G137" i="2"/>
  <c r="J137" i="2" s="1"/>
  <c r="Z136" i="2"/>
  <c r="Y136" i="2"/>
  <c r="X136" i="2"/>
  <c r="T136" i="2"/>
  <c r="S136" i="2"/>
  <c r="V136" i="2" s="1"/>
  <c r="BT136" i="2" s="1"/>
  <c r="R136" i="2"/>
  <c r="Q136" i="2"/>
  <c r="BO136" i="2" s="1"/>
  <c r="P136" i="2"/>
  <c r="O136" i="2"/>
  <c r="BN136" i="2" s="1"/>
  <c r="G136" i="2"/>
  <c r="BR135" i="2"/>
  <c r="BO135" i="2"/>
  <c r="Z135" i="2"/>
  <c r="Y135" i="2"/>
  <c r="T135" i="2"/>
  <c r="S135" i="2"/>
  <c r="V135" i="2" s="1"/>
  <c r="BT135" i="2" s="1"/>
  <c r="R135" i="2"/>
  <c r="Q135" i="2"/>
  <c r="W135" i="2" s="1"/>
  <c r="P135" i="2"/>
  <c r="O135" i="2"/>
  <c r="BN135" i="2" s="1"/>
  <c r="BP135" i="2" s="1"/>
  <c r="J135" i="2"/>
  <c r="I135" i="2"/>
  <c r="G135" i="2"/>
  <c r="BO134" i="2"/>
  <c r="Z134" i="2"/>
  <c r="V134" i="2"/>
  <c r="BT134" i="2" s="1"/>
  <c r="T134" i="2"/>
  <c r="S134" i="2"/>
  <c r="R134" i="2"/>
  <c r="Q134" i="2"/>
  <c r="W134" i="2" s="1"/>
  <c r="BR134" i="2" s="1"/>
  <c r="P134" i="2"/>
  <c r="Y134" i="2" s="1"/>
  <c r="O134" i="2"/>
  <c r="X134" i="2" s="1"/>
  <c r="J134" i="2"/>
  <c r="I134" i="2"/>
  <c r="G134" i="2"/>
  <c r="BT133" i="2"/>
  <c r="BN133" i="2"/>
  <c r="V133" i="2"/>
  <c r="T133" i="2"/>
  <c r="S133" i="2"/>
  <c r="R133" i="2"/>
  <c r="Q133" i="2"/>
  <c r="W133" i="2" s="1"/>
  <c r="BR133" i="2" s="1"/>
  <c r="P133" i="2"/>
  <c r="Y133" i="2" s="1"/>
  <c r="O133" i="2"/>
  <c r="X133" i="2" s="1"/>
  <c r="G133" i="2"/>
  <c r="I133" i="2" s="1"/>
  <c r="BO132" i="2"/>
  <c r="X132" i="2"/>
  <c r="V132" i="2"/>
  <c r="BT132" i="2" s="1"/>
  <c r="T132" i="2"/>
  <c r="S132" i="2"/>
  <c r="R132" i="2"/>
  <c r="Q132" i="2"/>
  <c r="Z132" i="2" s="1"/>
  <c r="P132" i="2"/>
  <c r="Y132" i="2" s="1"/>
  <c r="O132" i="2"/>
  <c r="BN132" i="2" s="1"/>
  <c r="BP132" i="2" s="1"/>
  <c r="G132" i="2"/>
  <c r="J132" i="2" s="1"/>
  <c r="Y131" i="2"/>
  <c r="X131" i="2"/>
  <c r="W131" i="2"/>
  <c r="BR131" i="2" s="1"/>
  <c r="T131" i="2"/>
  <c r="S131" i="2"/>
  <c r="V131" i="2" s="1"/>
  <c r="BT131" i="2" s="1"/>
  <c r="R131" i="2"/>
  <c r="Q131" i="2"/>
  <c r="P131" i="2"/>
  <c r="O131" i="2"/>
  <c r="BN131" i="2" s="1"/>
  <c r="I131" i="2"/>
  <c r="G131" i="2"/>
  <c r="J131" i="2" s="1"/>
  <c r="Z130" i="2"/>
  <c r="Y130" i="2"/>
  <c r="X130" i="2"/>
  <c r="T130" i="2"/>
  <c r="S130" i="2"/>
  <c r="V130" i="2" s="1"/>
  <c r="BT130" i="2" s="1"/>
  <c r="R130" i="2"/>
  <c r="R128" i="2" s="1"/>
  <c r="Q130" i="2"/>
  <c r="BO130" i="2" s="1"/>
  <c r="P130" i="2"/>
  <c r="O130" i="2"/>
  <c r="BN130" i="2" s="1"/>
  <c r="G130" i="2"/>
  <c r="BO129" i="2"/>
  <c r="Z129" i="2"/>
  <c r="Y129" i="2"/>
  <c r="T129" i="2"/>
  <c r="T128" i="2" s="1"/>
  <c r="S129" i="2"/>
  <c r="R129" i="2"/>
  <c r="Q129" i="2"/>
  <c r="W129" i="2" s="1"/>
  <c r="BR129" i="2" s="1"/>
  <c r="P129" i="2"/>
  <c r="P128" i="2" s="1"/>
  <c r="Y128" i="2" s="1"/>
  <c r="O129" i="2"/>
  <c r="O128" i="2" s="1"/>
  <c r="X128" i="2" s="1"/>
  <c r="J129" i="2"/>
  <c r="I129" i="2"/>
  <c r="G129" i="2"/>
  <c r="BM128" i="2"/>
  <c r="BL128" i="2"/>
  <c r="BK128" i="2"/>
  <c r="BJ128" i="2"/>
  <c r="BI128" i="2"/>
  <c r="BH128" i="2"/>
  <c r="BG128" i="2"/>
  <c r="BF128" i="2"/>
  <c r="BE128" i="2"/>
  <c r="BD128" i="2"/>
  <c r="BC128" i="2"/>
  <c r="BB128" i="2"/>
  <c r="BA128" i="2"/>
  <c r="AZ128" i="2"/>
  <c r="AY128" i="2"/>
  <c r="AX128" i="2"/>
  <c r="AW128" i="2"/>
  <c r="AV128" i="2"/>
  <c r="AU128" i="2"/>
  <c r="AT128" i="2"/>
  <c r="AS128" i="2"/>
  <c r="AR128" i="2"/>
  <c r="AQ128" i="2"/>
  <c r="AP128" i="2"/>
  <c r="AO128" i="2"/>
  <c r="AN128" i="2"/>
  <c r="AM128" i="2"/>
  <c r="AL128" i="2"/>
  <c r="AK128" i="2"/>
  <c r="AJ128" i="2"/>
  <c r="AI128" i="2"/>
  <c r="AH128" i="2"/>
  <c r="AG128" i="2"/>
  <c r="AF128" i="2"/>
  <c r="AE128" i="2"/>
  <c r="AD128" i="2"/>
  <c r="AC128" i="2"/>
  <c r="AB128" i="2"/>
  <c r="AA128" i="2"/>
  <c r="Q128" i="2"/>
  <c r="Z128" i="2" s="1"/>
  <c r="N128" i="2"/>
  <c r="M128" i="2"/>
  <c r="L128" i="2"/>
  <c r="K128" i="2"/>
  <c r="H128" i="2"/>
  <c r="F128" i="2"/>
  <c r="E128" i="2"/>
  <c r="BR127" i="2"/>
  <c r="BR126" i="2" s="1"/>
  <c r="BO127" i="2"/>
  <c r="Z127" i="2"/>
  <c r="Y127" i="2"/>
  <c r="T127" i="2"/>
  <c r="T126" i="2" s="1"/>
  <c r="S127" i="2"/>
  <c r="R127" i="2"/>
  <c r="Q127" i="2"/>
  <c r="W127" i="2" s="1"/>
  <c r="P127" i="2"/>
  <c r="P126" i="2" s="1"/>
  <c r="Y126" i="2" s="1"/>
  <c r="O127" i="2"/>
  <c r="O126" i="2" s="1"/>
  <c r="X126" i="2" s="1"/>
  <c r="J127" i="2"/>
  <c r="I127" i="2"/>
  <c r="G127" i="2"/>
  <c r="BO126" i="2"/>
  <c r="BM126" i="2"/>
  <c r="BL126" i="2"/>
  <c r="BK126" i="2"/>
  <c r="BJ126" i="2"/>
  <c r="BI126" i="2"/>
  <c r="BH126" i="2"/>
  <c r="BG126" i="2"/>
  <c r="BF126" i="2"/>
  <c r="BE126" i="2"/>
  <c r="BD126" i="2"/>
  <c r="BC126" i="2"/>
  <c r="BB126" i="2"/>
  <c r="BA126" i="2"/>
  <c r="AZ126" i="2"/>
  <c r="AY126" i="2"/>
  <c r="AX126" i="2"/>
  <c r="AW126" i="2"/>
  <c r="AV126" i="2"/>
  <c r="AU126" i="2"/>
  <c r="AT126" i="2"/>
  <c r="AS126" i="2"/>
  <c r="AR126" i="2"/>
  <c r="AQ126" i="2"/>
  <c r="AP126" i="2"/>
  <c r="AO126" i="2"/>
  <c r="AN126" i="2"/>
  <c r="AM126" i="2"/>
  <c r="AL126" i="2"/>
  <c r="AK126" i="2"/>
  <c r="AJ126" i="2"/>
  <c r="AI126" i="2"/>
  <c r="AH126" i="2"/>
  <c r="AG126" i="2"/>
  <c r="AF126" i="2"/>
  <c r="AE126" i="2"/>
  <c r="AD126" i="2"/>
  <c r="AC126" i="2"/>
  <c r="AB126" i="2"/>
  <c r="AA126" i="2"/>
  <c r="W126" i="2"/>
  <c r="R126" i="2"/>
  <c r="Q126" i="2"/>
  <c r="Z126" i="2" s="1"/>
  <c r="N126" i="2"/>
  <c r="M126" i="2"/>
  <c r="L126" i="2"/>
  <c r="K126" i="2"/>
  <c r="K112" i="2" s="1"/>
  <c r="H126" i="2"/>
  <c r="T203" i="3" s="1"/>
  <c r="G126" i="2"/>
  <c r="I126" i="2" s="1"/>
  <c r="F126" i="2"/>
  <c r="E126" i="2"/>
  <c r="E112" i="2" s="1"/>
  <c r="BO125" i="2"/>
  <c r="Z125" i="2"/>
  <c r="Y125" i="2"/>
  <c r="T125" i="2"/>
  <c r="S125" i="2"/>
  <c r="V125" i="2" s="1"/>
  <c r="BT125" i="2" s="1"/>
  <c r="R125" i="2"/>
  <c r="Q125" i="2"/>
  <c r="W125" i="2" s="1"/>
  <c r="BR125" i="2" s="1"/>
  <c r="P125" i="2"/>
  <c r="O125" i="2"/>
  <c r="BN125" i="2" s="1"/>
  <c r="BP125" i="2" s="1"/>
  <c r="J125" i="2"/>
  <c r="I125" i="2"/>
  <c r="G125" i="2"/>
  <c r="BO124" i="2"/>
  <c r="Z124" i="2"/>
  <c r="V124" i="2"/>
  <c r="BT124" i="2" s="1"/>
  <c r="T124" i="2"/>
  <c r="S124" i="2"/>
  <c r="R124" i="2"/>
  <c r="Q124" i="2"/>
  <c r="W124" i="2" s="1"/>
  <c r="BR124" i="2" s="1"/>
  <c r="P124" i="2"/>
  <c r="Y124" i="2" s="1"/>
  <c r="O124" i="2"/>
  <c r="X124" i="2" s="1"/>
  <c r="J124" i="2"/>
  <c r="G124" i="2"/>
  <c r="I124" i="2" s="1"/>
  <c r="BT123" i="2"/>
  <c r="V123" i="2"/>
  <c r="T123" i="2"/>
  <c r="S123" i="2"/>
  <c r="R123" i="2"/>
  <c r="Q123" i="2"/>
  <c r="W123" i="2" s="1"/>
  <c r="BR123" i="2" s="1"/>
  <c r="P123" i="2"/>
  <c r="Y123" i="2" s="1"/>
  <c r="O123" i="2"/>
  <c r="BN123" i="2" s="1"/>
  <c r="G123" i="2"/>
  <c r="I123" i="2" s="1"/>
  <c r="BO122" i="2"/>
  <c r="X122" i="2"/>
  <c r="V122" i="2"/>
  <c r="T122" i="2"/>
  <c r="S122" i="2"/>
  <c r="S121" i="2" s="1"/>
  <c r="R122" i="2"/>
  <c r="R121" i="2" s="1"/>
  <c r="Q122" i="2"/>
  <c r="Z122" i="2" s="1"/>
  <c r="P122" i="2"/>
  <c r="O122" i="2"/>
  <c r="BN122" i="2" s="1"/>
  <c r="G122" i="2"/>
  <c r="J122" i="2" s="1"/>
  <c r="BM121" i="2"/>
  <c r="BL121" i="2"/>
  <c r="BK121" i="2"/>
  <c r="BJ121" i="2"/>
  <c r="BI121" i="2"/>
  <c r="BH121" i="2"/>
  <c r="BG121" i="2"/>
  <c r="BF121" i="2"/>
  <c r="BE121" i="2"/>
  <c r="BD121" i="2"/>
  <c r="BC121" i="2"/>
  <c r="BB121" i="2"/>
  <c r="BA121" i="2"/>
  <c r="AZ121" i="2"/>
  <c r="AY121" i="2"/>
  <c r="AX121" i="2"/>
  <c r="AX112" i="2" s="1"/>
  <c r="AW121" i="2"/>
  <c r="AV121" i="2"/>
  <c r="AU121" i="2"/>
  <c r="AT121" i="2"/>
  <c r="AS121" i="2"/>
  <c r="AR121" i="2"/>
  <c r="AQ121" i="2"/>
  <c r="AP121" i="2"/>
  <c r="AO121" i="2"/>
  <c r="AN121" i="2"/>
  <c r="AM121" i="2"/>
  <c r="AL121" i="2"/>
  <c r="AK121" i="2"/>
  <c r="AJ121" i="2"/>
  <c r="AI121" i="2"/>
  <c r="AH121" i="2"/>
  <c r="AG121" i="2"/>
  <c r="AF121" i="2"/>
  <c r="AF112" i="2" s="1"/>
  <c r="AE121" i="2"/>
  <c r="AD121" i="2"/>
  <c r="AC121" i="2"/>
  <c r="AB121" i="2"/>
  <c r="AA121" i="2"/>
  <c r="T121" i="2"/>
  <c r="N121" i="2"/>
  <c r="N112" i="2" s="1"/>
  <c r="M121" i="2"/>
  <c r="L121" i="2"/>
  <c r="K121" i="2"/>
  <c r="H121" i="2"/>
  <c r="F121" i="2"/>
  <c r="E121" i="2"/>
  <c r="BU120" i="2"/>
  <c r="BO120" i="2"/>
  <c r="X120" i="2"/>
  <c r="V120" i="2"/>
  <c r="BT120" i="2" s="1"/>
  <c r="T120" i="2"/>
  <c r="S120" i="2"/>
  <c r="R120" i="2"/>
  <c r="Q120" i="2"/>
  <c r="Z120" i="2" s="1"/>
  <c r="P120" i="2"/>
  <c r="Y120" i="2" s="1"/>
  <c r="O120" i="2"/>
  <c r="BN120" i="2" s="1"/>
  <c r="BP120" i="2" s="1"/>
  <c r="G120" i="2"/>
  <c r="J120" i="2" s="1"/>
  <c r="Y119" i="2"/>
  <c r="X119" i="2"/>
  <c r="W119" i="2"/>
  <c r="BR119" i="2" s="1"/>
  <c r="T119" i="2"/>
  <c r="S119" i="2"/>
  <c r="V119" i="2" s="1"/>
  <c r="BT119" i="2" s="1"/>
  <c r="R119" i="2"/>
  <c r="Q119" i="2"/>
  <c r="P119" i="2"/>
  <c r="O119" i="2"/>
  <c r="BN119" i="2" s="1"/>
  <c r="I119" i="2"/>
  <c r="G119" i="2"/>
  <c r="J119" i="2" s="1"/>
  <c r="Z118" i="2"/>
  <c r="Y118" i="2"/>
  <c r="X118" i="2"/>
  <c r="T118" i="2"/>
  <c r="T117" i="2" s="1"/>
  <c r="S118" i="2"/>
  <c r="V118" i="2" s="1"/>
  <c r="BT118" i="2" s="1"/>
  <c r="BT117" i="2" s="1"/>
  <c r="R118" i="2"/>
  <c r="R117" i="2" s="1"/>
  <c r="Q118" i="2"/>
  <c r="BO118" i="2" s="1"/>
  <c r="P118" i="2"/>
  <c r="O118" i="2"/>
  <c r="BN118" i="2" s="1"/>
  <c r="G118" i="2"/>
  <c r="BM117" i="2"/>
  <c r="BL117" i="2"/>
  <c r="BK117" i="2"/>
  <c r="BJ117" i="2"/>
  <c r="BI117" i="2"/>
  <c r="BH117" i="2"/>
  <c r="BG117" i="2"/>
  <c r="BF117" i="2"/>
  <c r="BE117" i="2"/>
  <c r="BD117" i="2"/>
  <c r="BC117" i="2"/>
  <c r="BB117" i="2"/>
  <c r="BA117" i="2"/>
  <c r="AZ117" i="2"/>
  <c r="AY117" i="2"/>
  <c r="AX117" i="2"/>
  <c r="AW117" i="2"/>
  <c r="AV117" i="2"/>
  <c r="AU117" i="2"/>
  <c r="AT117" i="2"/>
  <c r="AS117" i="2"/>
  <c r="AR117" i="2"/>
  <c r="AQ117" i="2"/>
  <c r="AP117" i="2"/>
  <c r="AO117" i="2"/>
  <c r="AN117" i="2"/>
  <c r="AM117" i="2"/>
  <c r="AL117" i="2"/>
  <c r="AK117" i="2"/>
  <c r="AJ117" i="2"/>
  <c r="AI117" i="2"/>
  <c r="AH117" i="2"/>
  <c r="AG117" i="2"/>
  <c r="AF117" i="2"/>
  <c r="AE117" i="2"/>
  <c r="AD117" i="2"/>
  <c r="AC117" i="2"/>
  <c r="AB117" i="2"/>
  <c r="AA117" i="2"/>
  <c r="P117" i="2"/>
  <c r="Y117" i="2" s="1"/>
  <c r="N117" i="2"/>
  <c r="M117" i="2"/>
  <c r="L117" i="2"/>
  <c r="K117" i="2"/>
  <c r="H117" i="2"/>
  <c r="F117" i="2"/>
  <c r="E117" i="2"/>
  <c r="BO116" i="2"/>
  <c r="Z116" i="2"/>
  <c r="Y116" i="2"/>
  <c r="X116" i="2"/>
  <c r="T116" i="2"/>
  <c r="T115" i="2" s="1"/>
  <c r="S116" i="2"/>
  <c r="V116" i="2" s="1"/>
  <c r="BT116" i="2" s="1"/>
  <c r="BT115" i="2" s="1"/>
  <c r="R116" i="2"/>
  <c r="R115" i="2" s="1"/>
  <c r="Q116" i="2"/>
  <c r="W116" i="2" s="1"/>
  <c r="P116" i="2"/>
  <c r="O116" i="2"/>
  <c r="BN116" i="2" s="1"/>
  <c r="G116" i="2"/>
  <c r="BO115" i="2"/>
  <c r="BM115" i="2"/>
  <c r="BL115" i="2"/>
  <c r="BK115" i="2"/>
  <c r="BJ115" i="2"/>
  <c r="BI115" i="2"/>
  <c r="BH115" i="2"/>
  <c r="BG115" i="2"/>
  <c r="BF115" i="2"/>
  <c r="BE115" i="2"/>
  <c r="BD115" i="2"/>
  <c r="BC115" i="2"/>
  <c r="BB115" i="2"/>
  <c r="BA115" i="2"/>
  <c r="AZ115" i="2"/>
  <c r="AY115" i="2"/>
  <c r="AX115" i="2"/>
  <c r="AW115" i="2"/>
  <c r="AV115" i="2"/>
  <c r="AU115" i="2"/>
  <c r="AT115" i="2"/>
  <c r="AS115" i="2"/>
  <c r="AR115" i="2"/>
  <c r="AQ115" i="2"/>
  <c r="AP115" i="2"/>
  <c r="AO115" i="2"/>
  <c r="AN115" i="2"/>
  <c r="AM115" i="2"/>
  <c r="AL115" i="2"/>
  <c r="AK115" i="2"/>
  <c r="AJ115" i="2"/>
  <c r="AI115" i="2"/>
  <c r="AH115" i="2"/>
  <c r="AG115" i="2"/>
  <c r="AF115" i="2"/>
  <c r="AE115" i="2"/>
  <c r="AD115" i="2"/>
  <c r="AC115" i="2"/>
  <c r="AB115" i="2"/>
  <c r="AA115" i="2"/>
  <c r="Q115" i="2"/>
  <c r="Z115" i="2" s="1"/>
  <c r="P115" i="2"/>
  <c r="Y115" i="2" s="1"/>
  <c r="N115" i="2"/>
  <c r="M115" i="2"/>
  <c r="L115" i="2"/>
  <c r="K115" i="2"/>
  <c r="H115" i="2"/>
  <c r="F115" i="2"/>
  <c r="E115" i="2"/>
  <c r="BO114" i="2"/>
  <c r="Z114" i="2"/>
  <c r="Y114" i="2"/>
  <c r="X114" i="2"/>
  <c r="T114" i="2"/>
  <c r="T113" i="2" s="1"/>
  <c r="S114" i="2"/>
  <c r="V114" i="2" s="1"/>
  <c r="BT114" i="2" s="1"/>
  <c r="BT113" i="2" s="1"/>
  <c r="R114" i="2"/>
  <c r="R113" i="2" s="1"/>
  <c r="Q114" i="2"/>
  <c r="W114" i="2" s="1"/>
  <c r="P114" i="2"/>
  <c r="O114" i="2"/>
  <c r="BN114" i="2" s="1"/>
  <c r="G114" i="2"/>
  <c r="BO113" i="2"/>
  <c r="BM113" i="2"/>
  <c r="BL113" i="2"/>
  <c r="BK113" i="2"/>
  <c r="BJ113" i="2"/>
  <c r="BI113" i="2"/>
  <c r="BI112" i="2" s="1"/>
  <c r="BH113" i="2"/>
  <c r="BG113" i="2"/>
  <c r="BF113" i="2"/>
  <c r="BE113" i="2"/>
  <c r="BD113" i="2"/>
  <c r="BC113" i="2"/>
  <c r="BC112" i="2" s="1"/>
  <c r="BB113" i="2"/>
  <c r="BA113" i="2"/>
  <c r="AZ113" i="2"/>
  <c r="AY113" i="2"/>
  <c r="AX113" i="2"/>
  <c r="AW113" i="2"/>
  <c r="AW112" i="2" s="1"/>
  <c r="AV113" i="2"/>
  <c r="AU113" i="2"/>
  <c r="AT113" i="2"/>
  <c r="AS113" i="2"/>
  <c r="AR113" i="2"/>
  <c r="AQ113" i="2"/>
  <c r="AQ112" i="2" s="1"/>
  <c r="AP113" i="2"/>
  <c r="AO113" i="2"/>
  <c r="AN113" i="2"/>
  <c r="AM113" i="2"/>
  <c r="AL113" i="2"/>
  <c r="AK113" i="2"/>
  <c r="AK112" i="2" s="1"/>
  <c r="AJ113" i="2"/>
  <c r="AI113" i="2"/>
  <c r="AH113" i="2"/>
  <c r="AG113" i="2"/>
  <c r="AF113" i="2"/>
  <c r="AE113" i="2"/>
  <c r="AE112" i="2" s="1"/>
  <c r="AD113" i="2"/>
  <c r="AC113" i="2"/>
  <c r="AB113" i="2"/>
  <c r="AA113" i="2"/>
  <c r="V113" i="2"/>
  <c r="Q113" i="2"/>
  <c r="Z113" i="2" s="1"/>
  <c r="P113" i="2"/>
  <c r="N113" i="2"/>
  <c r="M113" i="2"/>
  <c r="M112" i="2" s="1"/>
  <c r="L113" i="2"/>
  <c r="K113" i="2"/>
  <c r="H113" i="2"/>
  <c r="F113" i="2"/>
  <c r="E113" i="2"/>
  <c r="Y111" i="2"/>
  <c r="X111" i="2"/>
  <c r="T111" i="2"/>
  <c r="S111" i="2"/>
  <c r="V111" i="2" s="1"/>
  <c r="BT111" i="2" s="1"/>
  <c r="R111" i="2"/>
  <c r="Q111" i="2"/>
  <c r="P111" i="2"/>
  <c r="O111" i="2"/>
  <c r="BN111" i="2" s="1"/>
  <c r="I111" i="2"/>
  <c r="G111" i="2"/>
  <c r="J111" i="2" s="1"/>
  <c r="Z110" i="2"/>
  <c r="Y110" i="2"/>
  <c r="X110" i="2"/>
  <c r="T110" i="2"/>
  <c r="S110" i="2"/>
  <c r="V110" i="2" s="1"/>
  <c r="BT110" i="2" s="1"/>
  <c r="R110" i="2"/>
  <c r="Q110" i="2"/>
  <c r="BO110" i="2" s="1"/>
  <c r="P110" i="2"/>
  <c r="O110" i="2"/>
  <c r="BN110" i="2" s="1"/>
  <c r="G110" i="2"/>
  <c r="BO109" i="2"/>
  <c r="Z109" i="2"/>
  <c r="Y109" i="2"/>
  <c r="T109" i="2"/>
  <c r="S109" i="2"/>
  <c r="R109" i="2"/>
  <c r="Q109" i="2"/>
  <c r="W109" i="2" s="1"/>
  <c r="BR109" i="2" s="1"/>
  <c r="P109" i="2"/>
  <c r="O109" i="2"/>
  <c r="BN109" i="2" s="1"/>
  <c r="BP109" i="2" s="1"/>
  <c r="J109" i="2"/>
  <c r="I109" i="2"/>
  <c r="G109" i="2"/>
  <c r="BO108" i="2"/>
  <c r="Z108" i="2"/>
  <c r="V108" i="2"/>
  <c r="T108" i="2"/>
  <c r="T107" i="2" s="1"/>
  <c r="S108" i="2"/>
  <c r="R108" i="2"/>
  <c r="Q108" i="2"/>
  <c r="W108" i="2" s="1"/>
  <c r="P108" i="2"/>
  <c r="P107" i="2" s="1"/>
  <c r="O108" i="2"/>
  <c r="X108" i="2" s="1"/>
  <c r="J108" i="2"/>
  <c r="G108" i="2"/>
  <c r="I108" i="2" s="1"/>
  <c r="BM107" i="2"/>
  <c r="BM816" i="2" s="1"/>
  <c r="BL107" i="2"/>
  <c r="BL816" i="2" s="1"/>
  <c r="BK107" i="2"/>
  <c r="BJ107" i="2"/>
  <c r="BI107" i="2"/>
  <c r="BI816" i="2" s="1"/>
  <c r="BH107" i="2"/>
  <c r="BH816" i="2" s="1"/>
  <c r="BG107" i="2"/>
  <c r="BG816" i="2" s="1"/>
  <c r="BF107" i="2"/>
  <c r="BF816" i="2" s="1"/>
  <c r="BE107" i="2"/>
  <c r="BD107" i="2"/>
  <c r="BC107" i="2"/>
  <c r="BC816" i="2" s="1"/>
  <c r="BB107" i="2"/>
  <c r="BB816" i="2" s="1"/>
  <c r="BA107" i="2"/>
  <c r="BA816" i="2" s="1"/>
  <c r="AZ107" i="2"/>
  <c r="AZ816" i="2" s="1"/>
  <c r="AY107" i="2"/>
  <c r="AX107" i="2"/>
  <c r="AW107" i="2"/>
  <c r="AW816" i="2" s="1"/>
  <c r="AV107" i="2"/>
  <c r="AV816" i="2" s="1"/>
  <c r="AU107" i="2"/>
  <c r="AU816" i="2" s="1"/>
  <c r="AT107" i="2"/>
  <c r="AT816" i="2" s="1"/>
  <c r="AS107" i="2"/>
  <c r="AR107" i="2"/>
  <c r="AQ107" i="2"/>
  <c r="AQ816" i="2" s="1"/>
  <c r="AP107" i="2"/>
  <c r="AP816" i="2" s="1"/>
  <c r="AO107" i="2"/>
  <c r="AO816" i="2" s="1"/>
  <c r="AN107" i="2"/>
  <c r="AN816" i="2" s="1"/>
  <c r="AM107" i="2"/>
  <c r="AL107" i="2"/>
  <c r="AK107" i="2"/>
  <c r="AJ107" i="2"/>
  <c r="AJ816" i="2" s="1"/>
  <c r="AI107" i="2"/>
  <c r="AI816" i="2" s="1"/>
  <c r="AH107" i="2"/>
  <c r="AH816" i="2" s="1"/>
  <c r="AG107" i="2"/>
  <c r="AF107" i="2"/>
  <c r="AE107" i="2"/>
  <c r="AD107" i="2"/>
  <c r="AD816" i="2" s="1"/>
  <c r="AC107" i="2"/>
  <c r="AC816" i="2" s="1"/>
  <c r="AB107" i="2"/>
  <c r="AA107" i="2"/>
  <c r="R107" i="2"/>
  <c r="N107" i="2"/>
  <c r="M107" i="2"/>
  <c r="M816" i="2" s="1"/>
  <c r="L107" i="2"/>
  <c r="L816" i="2" s="1"/>
  <c r="K107" i="2"/>
  <c r="K816" i="2" s="1"/>
  <c r="H107" i="2"/>
  <c r="F107" i="2"/>
  <c r="F816" i="2" s="1"/>
  <c r="E107" i="2"/>
  <c r="E816" i="2" s="1"/>
  <c r="BO106" i="2"/>
  <c r="Z106" i="2"/>
  <c r="V106" i="2"/>
  <c r="BT106" i="2" s="1"/>
  <c r="BT105" i="2" s="1"/>
  <c r="T106" i="2"/>
  <c r="T105" i="2" s="1"/>
  <c r="T815" i="2" s="1"/>
  <c r="S106" i="2"/>
  <c r="R106" i="2"/>
  <c r="Q106" i="2"/>
  <c r="W106" i="2" s="1"/>
  <c r="BR106" i="2" s="1"/>
  <c r="BR105" i="2" s="1"/>
  <c r="P106" i="2"/>
  <c r="Y106" i="2" s="1"/>
  <c r="O106" i="2"/>
  <c r="X106" i="2" s="1"/>
  <c r="J106" i="2"/>
  <c r="I106" i="2"/>
  <c r="BO105" i="2"/>
  <c r="BM105" i="2"/>
  <c r="BM815" i="2" s="1"/>
  <c r="BL105" i="2"/>
  <c r="BL815" i="2" s="1"/>
  <c r="BK105" i="2"/>
  <c r="BK815" i="2" s="1"/>
  <c r="BJ105" i="2"/>
  <c r="BJ815" i="2" s="1"/>
  <c r="BI105" i="2"/>
  <c r="BI815" i="2" s="1"/>
  <c r="BH105" i="2"/>
  <c r="BH815" i="2" s="1"/>
  <c r="BG105" i="2"/>
  <c r="BG815" i="2" s="1"/>
  <c r="BF105" i="2"/>
  <c r="BF815" i="2" s="1"/>
  <c r="BE105" i="2"/>
  <c r="BE815" i="2" s="1"/>
  <c r="BD105" i="2"/>
  <c r="BD815" i="2" s="1"/>
  <c r="BC105" i="2"/>
  <c r="BC815" i="2" s="1"/>
  <c r="BB105" i="2"/>
  <c r="BB815" i="2" s="1"/>
  <c r="BA105" i="2"/>
  <c r="BA815" i="2" s="1"/>
  <c r="AZ105" i="2"/>
  <c r="AZ815" i="2" s="1"/>
  <c r="AY105" i="2"/>
  <c r="AY815" i="2" s="1"/>
  <c r="AX105" i="2"/>
  <c r="AX815" i="2" s="1"/>
  <c r="AW105" i="2"/>
  <c r="AW815" i="2" s="1"/>
  <c r="AV105" i="2"/>
  <c r="AV815" i="2" s="1"/>
  <c r="AU105" i="2"/>
  <c r="AU815" i="2" s="1"/>
  <c r="AT105" i="2"/>
  <c r="AT815" i="2" s="1"/>
  <c r="AS105" i="2"/>
  <c r="AS815" i="2" s="1"/>
  <c r="AR105" i="2"/>
  <c r="AR815" i="2" s="1"/>
  <c r="AQ105" i="2"/>
  <c r="AQ815" i="2" s="1"/>
  <c r="AP105" i="2"/>
  <c r="AP815" i="2" s="1"/>
  <c r="AO105" i="2"/>
  <c r="AO815" i="2" s="1"/>
  <c r="AN105" i="2"/>
  <c r="AN815" i="2" s="1"/>
  <c r="AM105" i="2"/>
  <c r="AM815" i="2" s="1"/>
  <c r="AL105" i="2"/>
  <c r="AL815" i="2" s="1"/>
  <c r="AK105" i="2"/>
  <c r="AK815" i="2" s="1"/>
  <c r="AJ105" i="2"/>
  <c r="AJ815" i="2" s="1"/>
  <c r="AI105" i="2"/>
  <c r="AI815" i="2" s="1"/>
  <c r="AH105" i="2"/>
  <c r="AH815" i="2" s="1"/>
  <c r="AG105" i="2"/>
  <c r="AG815" i="2" s="1"/>
  <c r="AF105" i="2"/>
  <c r="AF815" i="2" s="1"/>
  <c r="AE105" i="2"/>
  <c r="AE815" i="2" s="1"/>
  <c r="AD105" i="2"/>
  <c r="AD815" i="2" s="1"/>
  <c r="AC105" i="2"/>
  <c r="AC815" i="2" s="1"/>
  <c r="AB105" i="2"/>
  <c r="AB815" i="2" s="1"/>
  <c r="AA105" i="2"/>
  <c r="AA815" i="2" s="1"/>
  <c r="W105" i="2"/>
  <c r="S105" i="2"/>
  <c r="R105" i="2"/>
  <c r="Q105" i="2"/>
  <c r="N105" i="2"/>
  <c r="N815" i="2" s="1"/>
  <c r="M105" i="2"/>
  <c r="M815" i="2" s="1"/>
  <c r="L105" i="2"/>
  <c r="L815" i="2" s="1"/>
  <c r="K105" i="2"/>
  <c r="K815" i="2" s="1"/>
  <c r="H105" i="2"/>
  <c r="H815" i="2" s="1"/>
  <c r="G105" i="2"/>
  <c r="J105" i="2" s="1"/>
  <c r="F105" i="2"/>
  <c r="F815" i="2" s="1"/>
  <c r="E105" i="2"/>
  <c r="E815" i="2" s="1"/>
  <c r="AP104" i="2"/>
  <c r="AP103" i="2" s="1"/>
  <c r="AM104" i="2"/>
  <c r="AG104" i="2"/>
  <c r="V104" i="2"/>
  <c r="T104" i="2"/>
  <c r="S104" i="2"/>
  <c r="S103" i="2" s="1"/>
  <c r="Q104" i="2"/>
  <c r="Z104" i="2" s="1"/>
  <c r="P104" i="2"/>
  <c r="K104" i="2"/>
  <c r="I104" i="2"/>
  <c r="G104" i="2"/>
  <c r="G103" i="2" s="1"/>
  <c r="J103" i="2" s="1"/>
  <c r="BM103" i="2"/>
  <c r="BL103" i="2"/>
  <c r="BK103" i="2"/>
  <c r="BJ103" i="2"/>
  <c r="BI103" i="2"/>
  <c r="BH103" i="2"/>
  <c r="BG103" i="2"/>
  <c r="BF103" i="2"/>
  <c r="BE103" i="2"/>
  <c r="BD103" i="2"/>
  <c r="BC103" i="2"/>
  <c r="BB103" i="2"/>
  <c r="BA103" i="2"/>
  <c r="AZ103" i="2"/>
  <c r="AY103" i="2"/>
  <c r="AX103" i="2"/>
  <c r="AW103" i="2"/>
  <c r="AV103" i="2"/>
  <c r="AU103" i="2"/>
  <c r="AT103" i="2"/>
  <c r="AS103" i="2"/>
  <c r="AR103" i="2"/>
  <c r="AQ103" i="2"/>
  <c r="AO103" i="2"/>
  <c r="AN103" i="2"/>
  <c r="AM103" i="2"/>
  <c r="AL103" i="2"/>
  <c r="AK103" i="2"/>
  <c r="AJ103" i="2"/>
  <c r="AI103" i="2"/>
  <c r="AH103" i="2"/>
  <c r="AG103" i="2"/>
  <c r="AF103" i="2"/>
  <c r="AE103" i="2"/>
  <c r="AD103" i="2"/>
  <c r="AC103" i="2"/>
  <c r="AB103" i="2"/>
  <c r="AA103" i="2"/>
  <c r="T103" i="2"/>
  <c r="Q103" i="2"/>
  <c r="Z103" i="2" s="1"/>
  <c r="N103" i="2"/>
  <c r="M103" i="2"/>
  <c r="L103" i="2"/>
  <c r="K103" i="2"/>
  <c r="I103" i="2"/>
  <c r="H103" i="2"/>
  <c r="F103" i="2"/>
  <c r="E103" i="2"/>
  <c r="Y102" i="2"/>
  <c r="X102" i="2"/>
  <c r="T102" i="2"/>
  <c r="S102" i="2"/>
  <c r="V102" i="2" s="1"/>
  <c r="BT102" i="2" s="1"/>
  <c r="R102" i="2"/>
  <c r="Q102" i="2"/>
  <c r="W102" i="2" s="1"/>
  <c r="BR102" i="2" s="1"/>
  <c r="P102" i="2"/>
  <c r="O102" i="2"/>
  <c r="BN102" i="2" s="1"/>
  <c r="I102" i="2"/>
  <c r="G102" i="2"/>
  <c r="J102" i="2" s="1"/>
  <c r="AP101" i="2"/>
  <c r="T101" i="2"/>
  <c r="S101" i="2"/>
  <c r="V101" i="2" s="1"/>
  <c r="Q101" i="2"/>
  <c r="W101" i="2" s="1"/>
  <c r="P101" i="2"/>
  <c r="G101" i="2"/>
  <c r="BR100" i="2"/>
  <c r="BO100" i="2"/>
  <c r="Z100" i="2"/>
  <c r="Y100" i="2"/>
  <c r="T100" i="2"/>
  <c r="S100" i="2"/>
  <c r="R100" i="2"/>
  <c r="Q100" i="2"/>
  <c r="W100" i="2" s="1"/>
  <c r="P100" i="2"/>
  <c r="O100" i="2"/>
  <c r="BN100" i="2" s="1"/>
  <c r="BP100" i="2" s="1"/>
  <c r="J100" i="2"/>
  <c r="I100" i="2"/>
  <c r="G100" i="2"/>
  <c r="BO99" i="2"/>
  <c r="Z99" i="2"/>
  <c r="V99" i="2"/>
  <c r="BT99" i="2" s="1"/>
  <c r="T99" i="2"/>
  <c r="S99" i="2"/>
  <c r="R99" i="2"/>
  <c r="Q99" i="2"/>
  <c r="W99" i="2" s="1"/>
  <c r="BR99" i="2" s="1"/>
  <c r="P99" i="2"/>
  <c r="Y99" i="2" s="1"/>
  <c r="O99" i="2"/>
  <c r="X99" i="2" s="1"/>
  <c r="J99" i="2"/>
  <c r="I99" i="2"/>
  <c r="G99" i="2"/>
  <c r="BO98" i="2"/>
  <c r="BN98" i="2"/>
  <c r="AP98" i="2"/>
  <c r="AM98" i="2"/>
  <c r="AH98" i="2"/>
  <c r="P98" i="2" s="1"/>
  <c r="Z98" i="2"/>
  <c r="X98" i="2"/>
  <c r="T98" i="2"/>
  <c r="S98" i="2"/>
  <c r="V98" i="2" s="1"/>
  <c r="R98" i="2"/>
  <c r="Q98" i="2"/>
  <c r="W98" i="2" s="1"/>
  <c r="BR98" i="2" s="1"/>
  <c r="O98" i="2"/>
  <c r="K98" i="2"/>
  <c r="U98" i="2" s="1"/>
  <c r="J98" i="2"/>
  <c r="I98" i="2"/>
  <c r="G98" i="2"/>
  <c r="BM97" i="2"/>
  <c r="BM813" i="2" s="1"/>
  <c r="BL97" i="2"/>
  <c r="BL813" i="2" s="1"/>
  <c r="BK97" i="2"/>
  <c r="BJ97" i="2"/>
  <c r="BJ813" i="2" s="1"/>
  <c r="BI97" i="2"/>
  <c r="BI813" i="2" s="1"/>
  <c r="BH97" i="2"/>
  <c r="BH813" i="2" s="1"/>
  <c r="BG97" i="2"/>
  <c r="BF97" i="2"/>
  <c r="BF813" i="2" s="1"/>
  <c r="BE97" i="2"/>
  <c r="BD97" i="2"/>
  <c r="BD813" i="2" s="1"/>
  <c r="BC97" i="2"/>
  <c r="BC813" i="2" s="1"/>
  <c r="BB97" i="2"/>
  <c r="BB813" i="2" s="1"/>
  <c r="BA97" i="2"/>
  <c r="AZ97" i="2"/>
  <c r="AZ813" i="2" s="1"/>
  <c r="AY97" i="2"/>
  <c r="AX97" i="2"/>
  <c r="AX813" i="2" s="1"/>
  <c r="AW97" i="2"/>
  <c r="AW813" i="2" s="1"/>
  <c r="AV97" i="2"/>
  <c r="AV813" i="2" s="1"/>
  <c r="AU97" i="2"/>
  <c r="AT97" i="2"/>
  <c r="AT813" i="2" s="1"/>
  <c r="AS97" i="2"/>
  <c r="AR97" i="2"/>
  <c r="AR813" i="2" s="1"/>
  <c r="AQ97" i="2"/>
  <c r="AQ813" i="2" s="1"/>
  <c r="AO97" i="2"/>
  <c r="AN97" i="2"/>
  <c r="AN813" i="2" s="1"/>
  <c r="AM97" i="2"/>
  <c r="AL97" i="2"/>
  <c r="AL813" i="2" s="1"/>
  <c r="AK97" i="2"/>
  <c r="AK813" i="2" s="1"/>
  <c r="AJ97" i="2"/>
  <c r="AJ813" i="2" s="1"/>
  <c r="AI97" i="2"/>
  <c r="AH97" i="2"/>
  <c r="AH813" i="2" s="1"/>
  <c r="AG97" i="2"/>
  <c r="AF97" i="2"/>
  <c r="AF813" i="2" s="1"/>
  <c r="AE97" i="2"/>
  <c r="AE813" i="2" s="1"/>
  <c r="AD97" i="2"/>
  <c r="AD813" i="2" s="1"/>
  <c r="AC97" i="2"/>
  <c r="AB97" i="2"/>
  <c r="AB813" i="2" s="1"/>
  <c r="AA97" i="2"/>
  <c r="AA813" i="2" s="1"/>
  <c r="N97" i="2"/>
  <c r="N813" i="2" s="1"/>
  <c r="M97" i="2"/>
  <c r="L97" i="2"/>
  <c r="L813" i="2" s="1"/>
  <c r="K97" i="2"/>
  <c r="K813" i="2" s="1"/>
  <c r="H97" i="2"/>
  <c r="H813" i="2" s="1"/>
  <c r="F97" i="2"/>
  <c r="F813" i="2" s="1"/>
  <c r="E97" i="2"/>
  <c r="E813" i="2" s="1"/>
  <c r="BO96" i="2"/>
  <c r="Z96" i="2"/>
  <c r="Y96" i="2"/>
  <c r="T96" i="2"/>
  <c r="S96" i="2"/>
  <c r="V96" i="2" s="1"/>
  <c r="BT96" i="2" s="1"/>
  <c r="R96" i="2"/>
  <c r="Q96" i="2"/>
  <c r="W96" i="2" s="1"/>
  <c r="BR96" i="2" s="1"/>
  <c r="P96" i="2"/>
  <c r="O96" i="2"/>
  <c r="BN96" i="2" s="1"/>
  <c r="BP96" i="2" s="1"/>
  <c r="J96" i="2"/>
  <c r="I96" i="2"/>
  <c r="G96" i="2"/>
  <c r="BO95" i="2"/>
  <c r="Z95" i="2"/>
  <c r="V95" i="2"/>
  <c r="BT95" i="2" s="1"/>
  <c r="T95" i="2"/>
  <c r="T91" i="2" s="1"/>
  <c r="S95" i="2"/>
  <c r="R95" i="2"/>
  <c r="Q95" i="2"/>
  <c r="W95" i="2" s="1"/>
  <c r="BR95" i="2" s="1"/>
  <c r="P95" i="2"/>
  <c r="Y95" i="2" s="1"/>
  <c r="O95" i="2"/>
  <c r="X95" i="2" s="1"/>
  <c r="J95" i="2"/>
  <c r="I95" i="2"/>
  <c r="G95" i="2"/>
  <c r="BT94" i="2"/>
  <c r="BN94" i="2"/>
  <c r="AP94" i="2"/>
  <c r="X94" i="2"/>
  <c r="V94" i="2"/>
  <c r="T94" i="2"/>
  <c r="S94" i="2"/>
  <c r="R94" i="2"/>
  <c r="Q94" i="2"/>
  <c r="Z94" i="2" s="1"/>
  <c r="P94" i="2"/>
  <c r="Y94" i="2" s="1"/>
  <c r="O94" i="2"/>
  <c r="K94" i="2"/>
  <c r="U94" i="2" s="1"/>
  <c r="BQ94" i="2" s="1"/>
  <c r="I94" i="2"/>
  <c r="G94" i="2"/>
  <c r="J94" i="2" s="1"/>
  <c r="AP93" i="2"/>
  <c r="R93" i="2" s="1"/>
  <c r="AH93" i="2"/>
  <c r="S93" i="2" s="1"/>
  <c r="Z93" i="2"/>
  <c r="T93" i="2"/>
  <c r="Q93" i="2"/>
  <c r="BO93" i="2" s="1"/>
  <c r="P93" i="2"/>
  <c r="Y93" i="2" s="1"/>
  <c r="K93" i="2"/>
  <c r="G93" i="2"/>
  <c r="I93" i="2" s="1"/>
  <c r="BO92" i="2"/>
  <c r="X92" i="2"/>
  <c r="V92" i="2"/>
  <c r="T92" i="2"/>
  <c r="S92" i="2"/>
  <c r="R92" i="2"/>
  <c r="R91" i="2" s="1"/>
  <c r="Q92" i="2"/>
  <c r="Z92" i="2" s="1"/>
  <c r="P92" i="2"/>
  <c r="O92" i="2"/>
  <c r="BN92" i="2" s="1"/>
  <c r="G92" i="2"/>
  <c r="J92" i="2" s="1"/>
  <c r="BM91" i="2"/>
  <c r="BM812" i="2" s="1"/>
  <c r="BL91" i="2"/>
  <c r="BL812" i="2" s="1"/>
  <c r="BK91" i="2"/>
  <c r="BK812" i="2" s="1"/>
  <c r="BJ91" i="2"/>
  <c r="BJ812" i="2" s="1"/>
  <c r="BI91" i="2"/>
  <c r="BI812" i="2" s="1"/>
  <c r="BH91" i="2"/>
  <c r="BH812" i="2" s="1"/>
  <c r="BG91" i="2"/>
  <c r="BG812" i="2" s="1"/>
  <c r="BF91" i="2"/>
  <c r="BF812" i="2" s="1"/>
  <c r="BE91" i="2"/>
  <c r="BE812" i="2" s="1"/>
  <c r="BD91" i="2"/>
  <c r="BD812" i="2" s="1"/>
  <c r="BC91" i="2"/>
  <c r="BC812" i="2" s="1"/>
  <c r="BB91" i="2"/>
  <c r="BB812" i="2" s="1"/>
  <c r="BA91" i="2"/>
  <c r="BA812" i="2" s="1"/>
  <c r="AZ91" i="2"/>
  <c r="AZ812" i="2" s="1"/>
  <c r="AY91" i="2"/>
  <c r="AY812" i="2" s="1"/>
  <c r="AX91" i="2"/>
  <c r="AX812" i="2" s="1"/>
  <c r="AW91" i="2"/>
  <c r="AW812" i="2" s="1"/>
  <c r="AV91" i="2"/>
  <c r="AV812" i="2" s="1"/>
  <c r="AU91" i="2"/>
  <c r="AU812" i="2" s="1"/>
  <c r="AT91" i="2"/>
  <c r="AT812" i="2" s="1"/>
  <c r="AS91" i="2"/>
  <c r="AS812" i="2" s="1"/>
  <c r="AR91" i="2"/>
  <c r="AR812" i="2" s="1"/>
  <c r="AQ91" i="2"/>
  <c r="AQ812" i="2" s="1"/>
  <c r="AO91" i="2"/>
  <c r="AO812" i="2" s="1"/>
  <c r="AN91" i="2"/>
  <c r="AN812" i="2" s="1"/>
  <c r="AM91" i="2"/>
  <c r="AM812" i="2" s="1"/>
  <c r="AL91" i="2"/>
  <c r="AL812" i="2" s="1"/>
  <c r="AK91" i="2"/>
  <c r="AK812" i="2" s="1"/>
  <c r="AJ91" i="2"/>
  <c r="AJ812" i="2" s="1"/>
  <c r="AI91" i="2"/>
  <c r="AI812" i="2" s="1"/>
  <c r="AH91" i="2"/>
  <c r="AH812" i="2" s="1"/>
  <c r="AG91" i="2"/>
  <c r="AF91" i="2"/>
  <c r="AF812" i="2" s="1"/>
  <c r="AE91" i="2"/>
  <c r="AE812" i="2" s="1"/>
  <c r="AD91" i="2"/>
  <c r="AD812" i="2" s="1"/>
  <c r="AC91" i="2"/>
  <c r="AC812" i="2" s="1"/>
  <c r="AB91" i="2"/>
  <c r="AB812" i="2" s="1"/>
  <c r="AA91" i="2"/>
  <c r="AA812" i="2" s="1"/>
  <c r="N91" i="2"/>
  <c r="N812" i="2" s="1"/>
  <c r="M91" i="2"/>
  <c r="M812" i="2" s="1"/>
  <c r="L91" i="2"/>
  <c r="L812" i="2" s="1"/>
  <c r="H91" i="2"/>
  <c r="H812" i="2" s="1"/>
  <c r="F91" i="2"/>
  <c r="F812" i="2" s="1"/>
  <c r="E91" i="2"/>
  <c r="E812" i="2" s="1"/>
  <c r="BO90" i="2"/>
  <c r="AM90" i="2"/>
  <c r="AG90" i="2"/>
  <c r="Z90" i="2"/>
  <c r="Y90" i="2"/>
  <c r="X90" i="2"/>
  <c r="T90" i="2"/>
  <c r="S90" i="2"/>
  <c r="V90" i="2" s="1"/>
  <c r="BT90" i="2" s="1"/>
  <c r="R90" i="2"/>
  <c r="Q90" i="2"/>
  <c r="W90" i="2" s="1"/>
  <c r="BR90" i="2" s="1"/>
  <c r="P90" i="2"/>
  <c r="O90" i="2"/>
  <c r="BN90" i="2" s="1"/>
  <c r="K90" i="2"/>
  <c r="U90" i="2" s="1"/>
  <c r="BQ90" i="2" s="1"/>
  <c r="BS90" i="2" s="1"/>
  <c r="BV90" i="2" s="1"/>
  <c r="J90" i="2"/>
  <c r="I90" i="2"/>
  <c r="G90" i="2"/>
  <c r="BO89" i="2"/>
  <c r="Z89" i="2"/>
  <c r="V89" i="2"/>
  <c r="BT89" i="2" s="1"/>
  <c r="T89" i="2"/>
  <c r="T86" i="2" s="1"/>
  <c r="S89" i="2"/>
  <c r="R89" i="2"/>
  <c r="Q89" i="2"/>
  <c r="W89" i="2" s="1"/>
  <c r="BR89" i="2" s="1"/>
  <c r="P89" i="2"/>
  <c r="Y89" i="2" s="1"/>
  <c r="O89" i="2"/>
  <c r="X89" i="2" s="1"/>
  <c r="J89" i="2"/>
  <c r="G89" i="2"/>
  <c r="I89" i="2" s="1"/>
  <c r="BO88" i="2"/>
  <c r="BN88" i="2"/>
  <c r="BP88" i="2" s="1"/>
  <c r="AP88" i="2"/>
  <c r="AM88" i="2"/>
  <c r="AA88" i="2"/>
  <c r="Z88" i="2"/>
  <c r="X88" i="2"/>
  <c r="T88" i="2"/>
  <c r="S88" i="2"/>
  <c r="R88" i="2"/>
  <c r="R86" i="2" s="1"/>
  <c r="R811" i="2" s="1"/>
  <c r="Q88" i="2"/>
  <c r="W88" i="2" s="1"/>
  <c r="BR88" i="2" s="1"/>
  <c r="P88" i="2"/>
  <c r="O88" i="2"/>
  <c r="L88" i="2"/>
  <c r="V88" i="2" s="1"/>
  <c r="BT88" i="2" s="1"/>
  <c r="K88" i="2"/>
  <c r="K86" i="2" s="1"/>
  <c r="J88" i="2"/>
  <c r="G88" i="2"/>
  <c r="I88" i="2" s="1"/>
  <c r="BT87" i="2"/>
  <c r="BN87" i="2"/>
  <c r="V87" i="2"/>
  <c r="V86" i="2" s="1"/>
  <c r="T87" i="2"/>
  <c r="S87" i="2"/>
  <c r="R87" i="2"/>
  <c r="Q87" i="2"/>
  <c r="Q86" i="2" s="1"/>
  <c r="P87" i="2"/>
  <c r="Y87" i="2" s="1"/>
  <c r="O87" i="2"/>
  <c r="G87" i="2"/>
  <c r="I87" i="2" s="1"/>
  <c r="BM86" i="2"/>
  <c r="BL86" i="2"/>
  <c r="BL811" i="2" s="1"/>
  <c r="BK86" i="2"/>
  <c r="BK811" i="2" s="1"/>
  <c r="BJ86" i="2"/>
  <c r="BJ811" i="2" s="1"/>
  <c r="BI86" i="2"/>
  <c r="BI811" i="2" s="1"/>
  <c r="BH86" i="2"/>
  <c r="BG86" i="2"/>
  <c r="BF86" i="2"/>
  <c r="BF811" i="2" s="1"/>
  <c r="BE86" i="2"/>
  <c r="BE811" i="2" s="1"/>
  <c r="BD86" i="2"/>
  <c r="BD811" i="2" s="1"/>
  <c r="BC86" i="2"/>
  <c r="BC811" i="2" s="1"/>
  <c r="BB86" i="2"/>
  <c r="BA86" i="2"/>
  <c r="AZ86" i="2"/>
  <c r="AZ811" i="2" s="1"/>
  <c r="AY86" i="2"/>
  <c r="AY811" i="2" s="1"/>
  <c r="AX86" i="2"/>
  <c r="AX811" i="2" s="1"/>
  <c r="AW86" i="2"/>
  <c r="AW811" i="2" s="1"/>
  <c r="AV86" i="2"/>
  <c r="AU86" i="2"/>
  <c r="AT86" i="2"/>
  <c r="AT811" i="2" s="1"/>
  <c r="AS86" i="2"/>
  <c r="AS811" i="2" s="1"/>
  <c r="AR86" i="2"/>
  <c r="AQ86" i="2"/>
  <c r="AQ811" i="2" s="1"/>
  <c r="AP86" i="2"/>
  <c r="AO86" i="2"/>
  <c r="AN86" i="2"/>
  <c r="AN811" i="2" s="1"/>
  <c r="AM86" i="2"/>
  <c r="AM811" i="2" s="1"/>
  <c r="AL86" i="2"/>
  <c r="AL811" i="2" s="1"/>
  <c r="AK86" i="2"/>
  <c r="AK811" i="2" s="1"/>
  <c r="AJ86" i="2"/>
  <c r="AI86" i="2"/>
  <c r="AH86" i="2"/>
  <c r="AH811" i="2" s="1"/>
  <c r="AG86" i="2"/>
  <c r="AG811" i="2" s="1"/>
  <c r="AF86" i="2"/>
  <c r="AF811" i="2" s="1"/>
  <c r="AE86" i="2"/>
  <c r="AE811" i="2" s="1"/>
  <c r="AD86" i="2"/>
  <c r="AC86" i="2"/>
  <c r="AB86" i="2"/>
  <c r="AA86" i="2"/>
  <c r="AA811" i="2" s="1"/>
  <c r="S86" i="2"/>
  <c r="N86" i="2"/>
  <c r="N811" i="2" s="1"/>
  <c r="M86" i="2"/>
  <c r="M811" i="2" s="1"/>
  <c r="H86" i="2"/>
  <c r="H811" i="2" s="1"/>
  <c r="G86" i="2"/>
  <c r="F86" i="2"/>
  <c r="E86" i="2"/>
  <c r="BN85" i="2"/>
  <c r="AB85" i="2"/>
  <c r="X85" i="2"/>
  <c r="V85" i="2"/>
  <c r="BT85" i="2" s="1"/>
  <c r="T85" i="2"/>
  <c r="S85" i="2"/>
  <c r="R85" i="2"/>
  <c r="Q85" i="2"/>
  <c r="Z85" i="2" s="1"/>
  <c r="P85" i="2"/>
  <c r="Y85" i="2" s="1"/>
  <c r="O85" i="2"/>
  <c r="U85" i="2" s="1"/>
  <c r="BQ85" i="2" s="1"/>
  <c r="G85" i="2"/>
  <c r="J85" i="2" s="1"/>
  <c r="Y84" i="2"/>
  <c r="X84" i="2"/>
  <c r="T84" i="2"/>
  <c r="S84" i="2"/>
  <c r="V84" i="2" s="1"/>
  <c r="BT84" i="2" s="1"/>
  <c r="R84" i="2"/>
  <c r="Q84" i="2"/>
  <c r="W84" i="2" s="1"/>
  <c r="BR84" i="2" s="1"/>
  <c r="P84" i="2"/>
  <c r="O84" i="2"/>
  <c r="BN84" i="2" s="1"/>
  <c r="I84" i="2"/>
  <c r="G84" i="2"/>
  <c r="J84" i="2" s="1"/>
  <c r="Z83" i="2"/>
  <c r="Y83" i="2"/>
  <c r="X83" i="2"/>
  <c r="T83" i="2"/>
  <c r="S83" i="2"/>
  <c r="V83" i="2" s="1"/>
  <c r="BT83" i="2" s="1"/>
  <c r="R83" i="2"/>
  <c r="Q83" i="2"/>
  <c r="BO83" i="2" s="1"/>
  <c r="P83" i="2"/>
  <c r="O83" i="2"/>
  <c r="BN83" i="2" s="1"/>
  <c r="BP83" i="2" s="1"/>
  <c r="BU83" i="2" s="1"/>
  <c r="G83" i="2"/>
  <c r="BN82" i="2"/>
  <c r="BP82" i="2" s="1"/>
  <c r="AE82" i="2"/>
  <c r="S82" i="2" s="1"/>
  <c r="V82" i="2" s="1"/>
  <c r="BT82" i="2" s="1"/>
  <c r="Z82" i="2"/>
  <c r="T82" i="2"/>
  <c r="R82" i="2"/>
  <c r="Q82" i="2"/>
  <c r="BO82" i="2" s="1"/>
  <c r="P82" i="2"/>
  <c r="Y82" i="2" s="1"/>
  <c r="O82" i="2"/>
  <c r="X82" i="2" s="1"/>
  <c r="K82" i="2"/>
  <c r="G82" i="2"/>
  <c r="I82" i="2" s="1"/>
  <c r="BO81" i="2"/>
  <c r="X81" i="2"/>
  <c r="V81" i="2"/>
  <c r="BT81" i="2" s="1"/>
  <c r="T81" i="2"/>
  <c r="S81" i="2"/>
  <c r="R81" i="2"/>
  <c r="Q81" i="2"/>
  <c r="Z81" i="2" s="1"/>
  <c r="P81" i="2"/>
  <c r="Y81" i="2" s="1"/>
  <c r="O81" i="2"/>
  <c r="BN81" i="2" s="1"/>
  <c r="BP81" i="2" s="1"/>
  <c r="G81" i="2"/>
  <c r="J81" i="2" s="1"/>
  <c r="Y80" i="2"/>
  <c r="X80" i="2"/>
  <c r="W80" i="2"/>
  <c r="BR80" i="2" s="1"/>
  <c r="T80" i="2"/>
  <c r="S80" i="2"/>
  <c r="V80" i="2" s="1"/>
  <c r="BT80" i="2" s="1"/>
  <c r="R80" i="2"/>
  <c r="Q80" i="2"/>
  <c r="P80" i="2"/>
  <c r="O80" i="2"/>
  <c r="BN80" i="2" s="1"/>
  <c r="I80" i="2"/>
  <c r="G80" i="2"/>
  <c r="J80" i="2" s="1"/>
  <c r="Z79" i="2"/>
  <c r="Y79" i="2"/>
  <c r="X79" i="2"/>
  <c r="T79" i="2"/>
  <c r="S79" i="2"/>
  <c r="V79" i="2" s="1"/>
  <c r="BT79" i="2" s="1"/>
  <c r="R79" i="2"/>
  <c r="Q79" i="2"/>
  <c r="BO79" i="2" s="1"/>
  <c r="P79" i="2"/>
  <c r="O79" i="2"/>
  <c r="BN79" i="2" s="1"/>
  <c r="G79" i="2"/>
  <c r="AQ78" i="2"/>
  <c r="AH78" i="2"/>
  <c r="AH59" i="2" s="1"/>
  <c r="AH810" i="2" s="1"/>
  <c r="T78" i="2"/>
  <c r="R78" i="2"/>
  <c r="Q78" i="2"/>
  <c r="BO78" i="2" s="1"/>
  <c r="O78" i="2"/>
  <c r="U78" i="2" s="1"/>
  <c r="BQ78" i="2" s="1"/>
  <c r="G78" i="2"/>
  <c r="I78" i="2" s="1"/>
  <c r="BO77" i="2"/>
  <c r="AP77" i="2"/>
  <c r="AG77" i="2"/>
  <c r="AA77" i="2"/>
  <c r="R77" i="2" s="1"/>
  <c r="Z77" i="2"/>
  <c r="Y77" i="2"/>
  <c r="T77" i="2"/>
  <c r="S77" i="2"/>
  <c r="V77" i="2" s="1"/>
  <c r="BT77" i="2" s="1"/>
  <c r="Q77" i="2"/>
  <c r="W77" i="2" s="1"/>
  <c r="BR77" i="2" s="1"/>
  <c r="P77" i="2"/>
  <c r="O77" i="2"/>
  <c r="U77" i="2" s="1"/>
  <c r="BQ77" i="2" s="1"/>
  <c r="BS77" i="2" s="1"/>
  <c r="BV77" i="2" s="1"/>
  <c r="K77" i="2"/>
  <c r="J77" i="2"/>
  <c r="G77" i="2"/>
  <c r="I77" i="2" s="1"/>
  <c r="BT76" i="2"/>
  <c r="BN76" i="2"/>
  <c r="V76" i="2"/>
  <c r="T76" i="2"/>
  <c r="S76" i="2"/>
  <c r="R76" i="2"/>
  <c r="Q76" i="2"/>
  <c r="W76" i="2" s="1"/>
  <c r="BR76" i="2" s="1"/>
  <c r="P76" i="2"/>
  <c r="Y76" i="2" s="1"/>
  <c r="O76" i="2"/>
  <c r="X76" i="2" s="1"/>
  <c r="G76" i="2"/>
  <c r="I76" i="2" s="1"/>
  <c r="BO75" i="2"/>
  <c r="X75" i="2"/>
  <c r="V75" i="2"/>
  <c r="BT75" i="2" s="1"/>
  <c r="T75" i="2"/>
  <c r="S75" i="2"/>
  <c r="R75" i="2"/>
  <c r="Q75" i="2"/>
  <c r="Z75" i="2" s="1"/>
  <c r="P75" i="2"/>
  <c r="Y75" i="2" s="1"/>
  <c r="O75" i="2"/>
  <c r="BN75" i="2" s="1"/>
  <c r="BP75" i="2" s="1"/>
  <c r="G75" i="2"/>
  <c r="J75" i="2" s="1"/>
  <c r="Y74" i="2"/>
  <c r="X74" i="2"/>
  <c r="W74" i="2"/>
  <c r="BR74" i="2" s="1"/>
  <c r="T74" i="2"/>
  <c r="S74" i="2"/>
  <c r="V74" i="2" s="1"/>
  <c r="BT74" i="2" s="1"/>
  <c r="R74" i="2"/>
  <c r="Q74" i="2"/>
  <c r="P74" i="2"/>
  <c r="O74" i="2"/>
  <c r="BN74" i="2" s="1"/>
  <c r="I74" i="2"/>
  <c r="G74" i="2"/>
  <c r="J74" i="2" s="1"/>
  <c r="Z73" i="2"/>
  <c r="Y73" i="2"/>
  <c r="X73" i="2"/>
  <c r="T73" i="2"/>
  <c r="S73" i="2"/>
  <c r="V73" i="2" s="1"/>
  <c r="BT73" i="2" s="1"/>
  <c r="R73" i="2"/>
  <c r="Q73" i="2"/>
  <c r="BO73" i="2" s="1"/>
  <c r="P73" i="2"/>
  <c r="O73" i="2"/>
  <c r="BN73" i="2" s="1"/>
  <c r="G73" i="2"/>
  <c r="Z72" i="2"/>
  <c r="Y72" i="2"/>
  <c r="T72" i="2"/>
  <c r="S72" i="2"/>
  <c r="V72" i="2" s="1"/>
  <c r="BT72" i="2" s="1"/>
  <c r="R72" i="2"/>
  <c r="Q72" i="2"/>
  <c r="W72" i="2" s="1"/>
  <c r="BR72" i="2" s="1"/>
  <c r="P72" i="2"/>
  <c r="O72" i="2"/>
  <c r="BN72" i="2" s="1"/>
  <c r="I72" i="2"/>
  <c r="G72" i="2"/>
  <c r="BO71" i="2"/>
  <c r="Z71" i="2"/>
  <c r="V71" i="2"/>
  <c r="BT71" i="2" s="1"/>
  <c r="T71" i="2"/>
  <c r="S71" i="2"/>
  <c r="R71" i="2"/>
  <c r="Q71" i="2"/>
  <c r="W71" i="2" s="1"/>
  <c r="BR71" i="2" s="1"/>
  <c r="P71" i="2"/>
  <c r="Y71" i="2" s="1"/>
  <c r="O71" i="2"/>
  <c r="X71" i="2" s="1"/>
  <c r="J71" i="2"/>
  <c r="G71" i="2"/>
  <c r="I71" i="2" s="1"/>
  <c r="BT70" i="2"/>
  <c r="BN70" i="2"/>
  <c r="V70" i="2"/>
  <c r="T70" i="2"/>
  <c r="S70" i="2"/>
  <c r="R70" i="2"/>
  <c r="Q70" i="2"/>
  <c r="W70" i="2" s="1"/>
  <c r="BR70" i="2" s="1"/>
  <c r="P70" i="2"/>
  <c r="Y70" i="2" s="1"/>
  <c r="O70" i="2"/>
  <c r="X70" i="2" s="1"/>
  <c r="G70" i="2"/>
  <c r="I70" i="2" s="1"/>
  <c r="BO69" i="2"/>
  <c r="AP69" i="2"/>
  <c r="Y69" i="2"/>
  <c r="X69" i="2"/>
  <c r="W69" i="2"/>
  <c r="BR69" i="2" s="1"/>
  <c r="T69" i="2"/>
  <c r="S69" i="2"/>
  <c r="V69" i="2" s="1"/>
  <c r="BT69" i="2" s="1"/>
  <c r="R69" i="2"/>
  <c r="Q69" i="2"/>
  <c r="Z69" i="2" s="1"/>
  <c r="P69" i="2"/>
  <c r="O69" i="2"/>
  <c r="U69" i="2" s="1"/>
  <c r="BQ69" i="2" s="1"/>
  <c r="BS69" i="2" s="1"/>
  <c r="BV69" i="2" s="1"/>
  <c r="I69" i="2"/>
  <c r="G69" i="2"/>
  <c r="J69" i="2" s="1"/>
  <c r="AP68" i="2"/>
  <c r="R68" i="2" s="1"/>
  <c r="Z68" i="2"/>
  <c r="Y68" i="2"/>
  <c r="T68" i="2"/>
  <c r="S68" i="2"/>
  <c r="V68" i="2" s="1"/>
  <c r="BT68" i="2" s="1"/>
  <c r="Q68" i="2"/>
  <c r="BO68" i="2" s="1"/>
  <c r="P68" i="2"/>
  <c r="O68" i="2"/>
  <c r="BN68" i="2" s="1"/>
  <c r="BP68" i="2" s="1"/>
  <c r="BU68" i="2" s="1"/>
  <c r="K68" i="2"/>
  <c r="J68" i="2"/>
  <c r="G68" i="2"/>
  <c r="I68" i="2" s="1"/>
  <c r="BT67" i="2"/>
  <c r="BN67" i="2"/>
  <c r="V67" i="2"/>
  <c r="T67" i="2"/>
  <c r="S67" i="2"/>
  <c r="R67" i="2"/>
  <c r="Q67" i="2"/>
  <c r="W67" i="2" s="1"/>
  <c r="BR67" i="2" s="1"/>
  <c r="P67" i="2"/>
  <c r="Y67" i="2" s="1"/>
  <c r="O67" i="2"/>
  <c r="X67" i="2" s="1"/>
  <c r="K67" i="2"/>
  <c r="G67" i="2"/>
  <c r="J67" i="2" s="1"/>
  <c r="Y66" i="2"/>
  <c r="X66" i="2"/>
  <c r="T66" i="2"/>
  <c r="S66" i="2"/>
  <c r="V66" i="2" s="1"/>
  <c r="BT66" i="2" s="1"/>
  <c r="R66" i="2"/>
  <c r="Q66" i="2"/>
  <c r="W66" i="2" s="1"/>
  <c r="BR66" i="2" s="1"/>
  <c r="P66" i="2"/>
  <c r="O66" i="2"/>
  <c r="BN66" i="2" s="1"/>
  <c r="I66" i="2"/>
  <c r="G66" i="2"/>
  <c r="J66" i="2" s="1"/>
  <c r="AN65" i="2"/>
  <c r="P65" i="2" s="1"/>
  <c r="Z65" i="2"/>
  <c r="Y65" i="2"/>
  <c r="T65" i="2"/>
  <c r="S65" i="2"/>
  <c r="R65" i="2"/>
  <c r="Q65" i="2"/>
  <c r="BO65" i="2" s="1"/>
  <c r="O65" i="2"/>
  <c r="BN65" i="2" s="1"/>
  <c r="J65" i="2"/>
  <c r="I65" i="2"/>
  <c r="G65" i="2"/>
  <c r="BO64" i="2"/>
  <c r="Z64" i="2"/>
  <c r="V64" i="2"/>
  <c r="BT64" i="2" s="1"/>
  <c r="T64" i="2"/>
  <c r="S64" i="2"/>
  <c r="R64" i="2"/>
  <c r="Q64" i="2"/>
  <c r="W64" i="2" s="1"/>
  <c r="BR64" i="2" s="1"/>
  <c r="P64" i="2"/>
  <c r="Y64" i="2" s="1"/>
  <c r="O64" i="2"/>
  <c r="X64" i="2" s="1"/>
  <c r="J64" i="2"/>
  <c r="G64" i="2"/>
  <c r="I64" i="2" s="1"/>
  <c r="BT63" i="2"/>
  <c r="V63" i="2"/>
  <c r="T63" i="2"/>
  <c r="S63" i="2"/>
  <c r="R63" i="2"/>
  <c r="Q63" i="2"/>
  <c r="W63" i="2" s="1"/>
  <c r="BR63" i="2" s="1"/>
  <c r="P63" i="2"/>
  <c r="Y63" i="2" s="1"/>
  <c r="O63" i="2"/>
  <c r="BN63" i="2" s="1"/>
  <c r="I63" i="2"/>
  <c r="G63" i="2"/>
  <c r="J63" i="2" s="1"/>
  <c r="BU62" i="2"/>
  <c r="BO62" i="2"/>
  <c r="X62" i="2"/>
  <c r="V62" i="2"/>
  <c r="BT62" i="2" s="1"/>
  <c r="T62" i="2"/>
  <c r="S62" i="2"/>
  <c r="R62" i="2"/>
  <c r="Q62" i="2"/>
  <c r="Z62" i="2" s="1"/>
  <c r="P62" i="2"/>
  <c r="Y62" i="2" s="1"/>
  <c r="O62" i="2"/>
  <c r="BN62" i="2" s="1"/>
  <c r="BP62" i="2" s="1"/>
  <c r="G62" i="2"/>
  <c r="J62" i="2" s="1"/>
  <c r="Y61" i="2"/>
  <c r="X61" i="2"/>
  <c r="W61" i="2"/>
  <c r="BR61" i="2" s="1"/>
  <c r="T61" i="2"/>
  <c r="S61" i="2"/>
  <c r="V61" i="2" s="1"/>
  <c r="BT61" i="2" s="1"/>
  <c r="R61" i="2"/>
  <c r="Q61" i="2"/>
  <c r="P61" i="2"/>
  <c r="O61" i="2"/>
  <c r="BN61" i="2" s="1"/>
  <c r="I61" i="2"/>
  <c r="G61" i="2"/>
  <c r="J61" i="2" s="1"/>
  <c r="Z60" i="2"/>
  <c r="Y60" i="2"/>
  <c r="X60" i="2"/>
  <c r="T60" i="2"/>
  <c r="S60" i="2"/>
  <c r="V60" i="2" s="1"/>
  <c r="BT60" i="2" s="1"/>
  <c r="R60" i="2"/>
  <c r="Q60" i="2"/>
  <c r="BO60" i="2" s="1"/>
  <c r="P60" i="2"/>
  <c r="O60" i="2"/>
  <c r="BN60" i="2" s="1"/>
  <c r="G60" i="2"/>
  <c r="BM59" i="2"/>
  <c r="BM810" i="2" s="1"/>
  <c r="BL59" i="2"/>
  <c r="BK59" i="2"/>
  <c r="BK810" i="2" s="1"/>
  <c r="BJ59" i="2"/>
  <c r="BI59" i="2"/>
  <c r="BI810" i="2" s="1"/>
  <c r="BH59" i="2"/>
  <c r="BG59" i="2"/>
  <c r="BG810" i="2" s="1"/>
  <c r="BF59" i="2"/>
  <c r="BE59" i="2"/>
  <c r="BE810" i="2" s="1"/>
  <c r="BD59" i="2"/>
  <c r="BC59" i="2"/>
  <c r="BC810" i="2" s="1"/>
  <c r="BB59" i="2"/>
  <c r="BA59" i="2"/>
  <c r="BA810" i="2" s="1"/>
  <c r="AZ59" i="2"/>
  <c r="AY59" i="2"/>
  <c r="AY810" i="2" s="1"/>
  <c r="AX59" i="2"/>
  <c r="AW59" i="2"/>
  <c r="AW810" i="2" s="1"/>
  <c r="AV59" i="2"/>
  <c r="AU59" i="2"/>
  <c r="AU810" i="2" s="1"/>
  <c r="AT59" i="2"/>
  <c r="AS59" i="2"/>
  <c r="AS810" i="2" s="1"/>
  <c r="AR59" i="2"/>
  <c r="AQ59" i="2"/>
  <c r="AQ810" i="2" s="1"/>
  <c r="AP59" i="2"/>
  <c r="AO59" i="2"/>
  <c r="AO810" i="2" s="1"/>
  <c r="AN59" i="2"/>
  <c r="AM59" i="2"/>
  <c r="AL59" i="2"/>
  <c r="AK59" i="2"/>
  <c r="AK810" i="2" s="1"/>
  <c r="AJ59" i="2"/>
  <c r="AI59" i="2"/>
  <c r="AI810" i="2" s="1"/>
  <c r="AG59" i="2"/>
  <c r="AG810" i="2" s="1"/>
  <c r="AF59" i="2"/>
  <c r="AE59" i="2"/>
  <c r="AE810" i="2" s="1"/>
  <c r="AD59" i="2"/>
  <c r="AC59" i="2"/>
  <c r="AC810" i="2" s="1"/>
  <c r="AB59" i="2"/>
  <c r="AA59" i="2"/>
  <c r="AA810" i="2" s="1"/>
  <c r="N59" i="2"/>
  <c r="M59" i="2"/>
  <c r="M810" i="2" s="1"/>
  <c r="L59" i="2"/>
  <c r="H59" i="2"/>
  <c r="F59" i="2"/>
  <c r="E59" i="2"/>
  <c r="BQ58" i="2"/>
  <c r="AP58" i="2"/>
  <c r="AJ58" i="2"/>
  <c r="R58" i="2" s="1"/>
  <c r="AE58" i="2"/>
  <c r="Z58" i="2"/>
  <c r="U58" i="2"/>
  <c r="T58" i="2"/>
  <c r="Q58" i="2"/>
  <c r="BO58" i="2" s="1"/>
  <c r="O58" i="2"/>
  <c r="K58" i="2"/>
  <c r="I58" i="2"/>
  <c r="G58" i="2"/>
  <c r="J58" i="2" s="1"/>
  <c r="X57" i="2"/>
  <c r="V57" i="2"/>
  <c r="BT57" i="2" s="1"/>
  <c r="T57" i="2"/>
  <c r="S57" i="2"/>
  <c r="R57" i="2"/>
  <c r="Q57" i="2"/>
  <c r="W57" i="2" s="1"/>
  <c r="BR57" i="2" s="1"/>
  <c r="P57" i="2"/>
  <c r="Y57" i="2" s="1"/>
  <c r="O57" i="2"/>
  <c r="BN57" i="2" s="1"/>
  <c r="G57" i="2"/>
  <c r="J57" i="2" s="1"/>
  <c r="AQ56" i="2"/>
  <c r="AN56" i="2"/>
  <c r="P56" i="2" s="1"/>
  <c r="Y56" i="2" s="1"/>
  <c r="Z56" i="2"/>
  <c r="T56" i="2"/>
  <c r="T46" i="2" s="1"/>
  <c r="R56" i="2"/>
  <c r="Q56" i="2"/>
  <c r="BO56" i="2" s="1"/>
  <c r="O56" i="2"/>
  <c r="X56" i="2" s="1"/>
  <c r="J56" i="2"/>
  <c r="I56" i="2"/>
  <c r="BN55" i="2"/>
  <c r="AQ55" i="2"/>
  <c r="S55" i="2" s="1"/>
  <c r="V55" i="2" s="1"/>
  <c r="BT55" i="2" s="1"/>
  <c r="AN55" i="2"/>
  <c r="T55" i="2"/>
  <c r="R55" i="2"/>
  <c r="Q55" i="2"/>
  <c r="Z55" i="2" s="1"/>
  <c r="P55" i="2"/>
  <c r="Y55" i="2" s="1"/>
  <c r="O55" i="2"/>
  <c r="X55" i="2" s="1"/>
  <c r="J55" i="2"/>
  <c r="I55" i="2"/>
  <c r="BN54" i="2"/>
  <c r="AN54" i="2"/>
  <c r="X54" i="2"/>
  <c r="W54" i="2"/>
  <c r="BR54" i="2" s="1"/>
  <c r="V54" i="2"/>
  <c r="BT54" i="2" s="1"/>
  <c r="T54" i="2"/>
  <c r="S54" i="2"/>
  <c r="R54" i="2"/>
  <c r="Q54" i="2"/>
  <c r="BO54" i="2" s="1"/>
  <c r="BP54" i="2" s="1"/>
  <c r="P54" i="2"/>
  <c r="Y54" i="2" s="1"/>
  <c r="O54" i="2"/>
  <c r="U54" i="2" s="1"/>
  <c r="BQ54" i="2" s="1"/>
  <c r="J54" i="2"/>
  <c r="I54" i="2"/>
  <c r="AN53" i="2"/>
  <c r="P53" i="2" s="1"/>
  <c r="Y53" i="2" s="1"/>
  <c r="X53" i="2"/>
  <c r="T53" i="2"/>
  <c r="S53" i="2"/>
  <c r="V53" i="2" s="1"/>
  <c r="BT53" i="2" s="1"/>
  <c r="R53" i="2"/>
  <c r="Q53" i="2"/>
  <c r="Z53" i="2" s="1"/>
  <c r="O53" i="2"/>
  <c r="BN53" i="2" s="1"/>
  <c r="J53" i="2"/>
  <c r="I53" i="2"/>
  <c r="BN52" i="2"/>
  <c r="BP52" i="2" s="1"/>
  <c r="BU52" i="2" s="1"/>
  <c r="AN52" i="2"/>
  <c r="Z52" i="2"/>
  <c r="Y52" i="2"/>
  <c r="X52" i="2"/>
  <c r="T52" i="2"/>
  <c r="S52" i="2"/>
  <c r="V52" i="2" s="1"/>
  <c r="BT52" i="2" s="1"/>
  <c r="R52" i="2"/>
  <c r="Q52" i="2"/>
  <c r="BO52" i="2" s="1"/>
  <c r="P52" i="2"/>
  <c r="O52" i="2"/>
  <c r="U52" i="2" s="1"/>
  <c r="BQ52" i="2" s="1"/>
  <c r="J52" i="2"/>
  <c r="I52" i="2"/>
  <c r="BR51" i="2"/>
  <c r="BO51" i="2"/>
  <c r="Z51" i="2"/>
  <c r="Y51" i="2"/>
  <c r="X51" i="2"/>
  <c r="T51" i="2"/>
  <c r="S51" i="2"/>
  <c r="V51" i="2" s="1"/>
  <c r="BT51" i="2" s="1"/>
  <c r="R51" i="2"/>
  <c r="Q51" i="2"/>
  <c r="W51" i="2" s="1"/>
  <c r="P51" i="2"/>
  <c r="O51" i="2"/>
  <c r="BN51" i="2" s="1"/>
  <c r="BP51" i="2" s="1"/>
  <c r="J51" i="2"/>
  <c r="I51" i="2"/>
  <c r="BO50" i="2"/>
  <c r="AQ50" i="2"/>
  <c r="P50" i="2" s="1"/>
  <c r="Y50" i="2" s="1"/>
  <c r="AP50" i="2"/>
  <c r="AP46" i="2" s="1"/>
  <c r="AP809" i="2" s="1"/>
  <c r="AN50" i="2"/>
  <c r="AM50" i="2"/>
  <c r="AG50" i="2"/>
  <c r="O50" i="2" s="1"/>
  <c r="AE50" i="2"/>
  <c r="Z50" i="2"/>
  <c r="T50" i="2"/>
  <c r="S50" i="2"/>
  <c r="V50" i="2" s="1"/>
  <c r="BT50" i="2" s="1"/>
  <c r="Q50" i="2"/>
  <c r="W50" i="2" s="1"/>
  <c r="BR50" i="2" s="1"/>
  <c r="K50" i="2"/>
  <c r="J50" i="2"/>
  <c r="G50" i="2"/>
  <c r="BT49" i="2"/>
  <c r="BO49" i="2"/>
  <c r="Z49" i="2"/>
  <c r="V49" i="2"/>
  <c r="T49" i="2"/>
  <c r="S49" i="2"/>
  <c r="R49" i="2"/>
  <c r="Q49" i="2"/>
  <c r="W49" i="2" s="1"/>
  <c r="BR49" i="2" s="1"/>
  <c r="P49" i="2"/>
  <c r="Y49" i="2" s="1"/>
  <c r="O49" i="2"/>
  <c r="X49" i="2" s="1"/>
  <c r="G49" i="2"/>
  <c r="I49" i="2" s="1"/>
  <c r="BO48" i="2"/>
  <c r="AP48" i="2"/>
  <c r="AM48" i="2"/>
  <c r="O48" i="2" s="1"/>
  <c r="AG48" i="2"/>
  <c r="Z48" i="2"/>
  <c r="Y48" i="2"/>
  <c r="T48" i="2"/>
  <c r="S48" i="2"/>
  <c r="V48" i="2" s="1"/>
  <c r="Q48" i="2"/>
  <c r="W48" i="2" s="1"/>
  <c r="BR48" i="2" s="1"/>
  <c r="P48" i="2"/>
  <c r="K48" i="2"/>
  <c r="K46" i="2" s="1"/>
  <c r="J48" i="2"/>
  <c r="G48" i="2"/>
  <c r="BT47" i="2"/>
  <c r="BO47" i="2"/>
  <c r="Z47" i="2"/>
  <c r="V47" i="2"/>
  <c r="T47" i="2"/>
  <c r="S47" i="2"/>
  <c r="R47" i="2"/>
  <c r="Q47" i="2"/>
  <c r="W47" i="2" s="1"/>
  <c r="P47" i="2"/>
  <c r="Y47" i="2" s="1"/>
  <c r="O47" i="2"/>
  <c r="G47" i="2"/>
  <c r="I47" i="2" s="1"/>
  <c r="BM46" i="2"/>
  <c r="BM809" i="2" s="1"/>
  <c r="BL46" i="2"/>
  <c r="BK46" i="2"/>
  <c r="BK809" i="2" s="1"/>
  <c r="BJ46" i="2"/>
  <c r="BI46" i="2"/>
  <c r="BI809" i="2" s="1"/>
  <c r="BH46" i="2"/>
  <c r="BH809" i="2" s="1"/>
  <c r="BG46" i="2"/>
  <c r="BG809" i="2" s="1"/>
  <c r="BF46" i="2"/>
  <c r="BE46" i="2"/>
  <c r="BE809" i="2" s="1"/>
  <c r="BD46" i="2"/>
  <c r="BC46" i="2"/>
  <c r="BC809" i="2" s="1"/>
  <c r="BB46" i="2"/>
  <c r="BB809" i="2" s="1"/>
  <c r="BA46" i="2"/>
  <c r="BA809" i="2" s="1"/>
  <c r="AZ46" i="2"/>
  <c r="AY46" i="2"/>
  <c r="AY809" i="2" s="1"/>
  <c r="AX46" i="2"/>
  <c r="AW46" i="2"/>
  <c r="AW809" i="2" s="1"/>
  <c r="AV46" i="2"/>
  <c r="AV809" i="2" s="1"/>
  <c r="AU46" i="2"/>
  <c r="AU809" i="2" s="1"/>
  <c r="AT46" i="2"/>
  <c r="AS46" i="2"/>
  <c r="AS809" i="2" s="1"/>
  <c r="AR46" i="2"/>
  <c r="AQ46" i="2"/>
  <c r="AQ809" i="2" s="1"/>
  <c r="AO46" i="2"/>
  <c r="AN46" i="2"/>
  <c r="AM46" i="2"/>
  <c r="AL46" i="2"/>
  <c r="AK46" i="2"/>
  <c r="AK809" i="2" s="1"/>
  <c r="AJ46" i="2"/>
  <c r="AJ809" i="2" s="1"/>
  <c r="AI46" i="2"/>
  <c r="AI809" i="2" s="1"/>
  <c r="AH46" i="2"/>
  <c r="AG46" i="2"/>
  <c r="AG809" i="2" s="1"/>
  <c r="AF46" i="2"/>
  <c r="AE46" i="2"/>
  <c r="AD46" i="2"/>
  <c r="AD809" i="2" s="1"/>
  <c r="AC46" i="2"/>
  <c r="AC809" i="2" s="1"/>
  <c r="AB46" i="2"/>
  <c r="AA46" i="2"/>
  <c r="AA809" i="2" s="1"/>
  <c r="N46" i="2"/>
  <c r="M46" i="2"/>
  <c r="M809" i="2" s="1"/>
  <c r="L46" i="2"/>
  <c r="H46" i="2"/>
  <c r="G46" i="2"/>
  <c r="F46" i="2"/>
  <c r="F809" i="2" s="1"/>
  <c r="E46" i="2"/>
  <c r="BT45" i="2"/>
  <c r="BO45" i="2"/>
  <c r="BN45" i="2"/>
  <c r="BP45" i="2" s="1"/>
  <c r="Z45" i="2"/>
  <c r="V45" i="2"/>
  <c r="T45" i="2"/>
  <c r="S45" i="2"/>
  <c r="R45" i="2"/>
  <c r="Q45" i="2"/>
  <c r="W45" i="2" s="1"/>
  <c r="BR45" i="2" s="1"/>
  <c r="P45" i="2"/>
  <c r="Y45" i="2" s="1"/>
  <c r="O45" i="2"/>
  <c r="G45" i="2"/>
  <c r="I45" i="2" s="1"/>
  <c r="BO44" i="2"/>
  <c r="V44" i="2"/>
  <c r="BT44" i="2" s="1"/>
  <c r="T44" i="2"/>
  <c r="S44" i="2"/>
  <c r="R44" i="2"/>
  <c r="Q44" i="2"/>
  <c r="Z44" i="2" s="1"/>
  <c r="P44" i="2"/>
  <c r="Y44" i="2" s="1"/>
  <c r="O44" i="2"/>
  <c r="X44" i="2" s="1"/>
  <c r="I44" i="2"/>
  <c r="G44" i="2"/>
  <c r="J44" i="2" s="1"/>
  <c r="X43" i="2"/>
  <c r="V43" i="2"/>
  <c r="BT43" i="2" s="1"/>
  <c r="T43" i="2"/>
  <c r="S43" i="2"/>
  <c r="R43" i="2"/>
  <c r="Q43" i="2"/>
  <c r="W43" i="2" s="1"/>
  <c r="BR43" i="2" s="1"/>
  <c r="P43" i="2"/>
  <c r="Y43" i="2" s="1"/>
  <c r="O43" i="2"/>
  <c r="BN43" i="2" s="1"/>
  <c r="G43" i="2"/>
  <c r="J43" i="2" s="1"/>
  <c r="Y42" i="2"/>
  <c r="X42" i="2"/>
  <c r="T42" i="2"/>
  <c r="S42" i="2"/>
  <c r="V42" i="2" s="1"/>
  <c r="BT42" i="2" s="1"/>
  <c r="R42" i="2"/>
  <c r="Q42" i="2"/>
  <c r="BO42" i="2" s="1"/>
  <c r="P42" i="2"/>
  <c r="O42" i="2"/>
  <c r="BN42" i="2" s="1"/>
  <c r="G42" i="2"/>
  <c r="BO41" i="2"/>
  <c r="AM41" i="2"/>
  <c r="AD41" i="2"/>
  <c r="R41" i="2" s="1"/>
  <c r="Z41" i="2"/>
  <c r="V41" i="2"/>
  <c r="BT41" i="2" s="1"/>
  <c r="T41" i="2"/>
  <c r="S41" i="2"/>
  <c r="Q41" i="2"/>
  <c r="W41" i="2" s="1"/>
  <c r="BR41" i="2" s="1"/>
  <c r="P41" i="2"/>
  <c r="Y41" i="2" s="1"/>
  <c r="K41" i="2"/>
  <c r="I41" i="2" s="1"/>
  <c r="G41" i="2"/>
  <c r="X40" i="2"/>
  <c r="V40" i="2"/>
  <c r="BT40" i="2" s="1"/>
  <c r="T40" i="2"/>
  <c r="S40" i="2"/>
  <c r="R40" i="2"/>
  <c r="Q40" i="2"/>
  <c r="W40" i="2" s="1"/>
  <c r="BR40" i="2" s="1"/>
  <c r="P40" i="2"/>
  <c r="Y40" i="2" s="1"/>
  <c r="O40" i="2"/>
  <c r="BN40" i="2" s="1"/>
  <c r="G40" i="2"/>
  <c r="J40" i="2" s="1"/>
  <c r="AP39" i="2"/>
  <c r="V39" i="2"/>
  <c r="BT39" i="2" s="1"/>
  <c r="T39" i="2"/>
  <c r="S39" i="2"/>
  <c r="R39" i="2"/>
  <c r="Q39" i="2"/>
  <c r="BO39" i="2" s="1"/>
  <c r="P39" i="2"/>
  <c r="O39" i="2"/>
  <c r="BN39" i="2" s="1"/>
  <c r="I39" i="2"/>
  <c r="G39" i="2"/>
  <c r="J39" i="2" s="1"/>
  <c r="BP38" i="2"/>
  <c r="BO38" i="2"/>
  <c r="AP38" i="2"/>
  <c r="V38" i="2"/>
  <c r="BT38" i="2" s="1"/>
  <c r="T38" i="2"/>
  <c r="S38" i="2"/>
  <c r="R38" i="2"/>
  <c r="Q38" i="2"/>
  <c r="W38" i="2" s="1"/>
  <c r="BR38" i="2" s="1"/>
  <c r="P38" i="2"/>
  <c r="O38" i="2"/>
  <c r="BN38" i="2" s="1"/>
  <c r="J38" i="2"/>
  <c r="G38" i="2"/>
  <c r="I38" i="2" s="1"/>
  <c r="BO37" i="2"/>
  <c r="V37" i="2"/>
  <c r="BT37" i="2" s="1"/>
  <c r="T37" i="2"/>
  <c r="S37" i="2"/>
  <c r="R37" i="2"/>
  <c r="Q37" i="2"/>
  <c r="Z37" i="2" s="1"/>
  <c r="P37" i="2"/>
  <c r="Y37" i="2" s="1"/>
  <c r="O37" i="2"/>
  <c r="X37" i="2" s="1"/>
  <c r="K37" i="2"/>
  <c r="G37" i="2"/>
  <c r="J37" i="2" s="1"/>
  <c r="Y36" i="2"/>
  <c r="X36" i="2"/>
  <c r="T36" i="2"/>
  <c r="S36" i="2"/>
  <c r="V36" i="2" s="1"/>
  <c r="BT36" i="2" s="1"/>
  <c r="R36" i="2"/>
  <c r="Q36" i="2"/>
  <c r="BO36" i="2" s="1"/>
  <c r="P36" i="2"/>
  <c r="O36" i="2"/>
  <c r="BN36" i="2" s="1"/>
  <c r="BP36" i="2" s="1"/>
  <c r="BU36" i="2" s="1"/>
  <c r="G36" i="2"/>
  <c r="AP35" i="2"/>
  <c r="AG35" i="2"/>
  <c r="O35" i="2" s="1"/>
  <c r="AD35" i="2"/>
  <c r="R35" i="2" s="1"/>
  <c r="V35" i="2"/>
  <c r="BT35" i="2" s="1"/>
  <c r="T35" i="2"/>
  <c r="S35" i="2"/>
  <c r="Q35" i="2"/>
  <c r="Z35" i="2" s="1"/>
  <c r="P35" i="2"/>
  <c r="Y35" i="2" s="1"/>
  <c r="K35" i="2"/>
  <c r="G35" i="2"/>
  <c r="J35" i="2" s="1"/>
  <c r="Y34" i="2"/>
  <c r="X34" i="2"/>
  <c r="T34" i="2"/>
  <c r="S34" i="2"/>
  <c r="V34" i="2" s="1"/>
  <c r="BT34" i="2" s="1"/>
  <c r="R34" i="2"/>
  <c r="Q34" i="2"/>
  <c r="BO34" i="2" s="1"/>
  <c r="P34" i="2"/>
  <c r="O34" i="2"/>
  <c r="BN34" i="2" s="1"/>
  <c r="BP34" i="2" s="1"/>
  <c r="BU34" i="2" s="1"/>
  <c r="G34" i="2"/>
  <c r="BR33" i="2"/>
  <c r="BO33" i="2"/>
  <c r="Z33" i="2"/>
  <c r="Y33" i="2"/>
  <c r="X33" i="2"/>
  <c r="T33" i="2"/>
  <c r="S33" i="2"/>
  <c r="V33" i="2" s="1"/>
  <c r="BT33" i="2" s="1"/>
  <c r="R33" i="2"/>
  <c r="Q33" i="2"/>
  <c r="W33" i="2" s="1"/>
  <c r="P33" i="2"/>
  <c r="O33" i="2"/>
  <c r="BN33" i="2" s="1"/>
  <c r="BP33" i="2" s="1"/>
  <c r="J33" i="2"/>
  <c r="I33" i="2"/>
  <c r="G33" i="2"/>
  <c r="Z32" i="2"/>
  <c r="Y32" i="2"/>
  <c r="T32" i="2"/>
  <c r="S32" i="2"/>
  <c r="V32" i="2" s="1"/>
  <c r="BT32" i="2" s="1"/>
  <c r="R32" i="2"/>
  <c r="Q32" i="2"/>
  <c r="W32" i="2" s="1"/>
  <c r="BR32" i="2" s="1"/>
  <c r="P32" i="2"/>
  <c r="O32" i="2"/>
  <c r="X32" i="2" s="1"/>
  <c r="J32" i="2"/>
  <c r="I32" i="2"/>
  <c r="G32" i="2"/>
  <c r="BT31" i="2"/>
  <c r="BO31" i="2"/>
  <c r="BN31" i="2"/>
  <c r="BP31" i="2" s="1"/>
  <c r="Z31" i="2"/>
  <c r="V31" i="2"/>
  <c r="T31" i="2"/>
  <c r="S31" i="2"/>
  <c r="R31" i="2"/>
  <c r="Q31" i="2"/>
  <c r="W31" i="2" s="1"/>
  <c r="BR31" i="2" s="1"/>
  <c r="P31" i="2"/>
  <c r="Y31" i="2" s="1"/>
  <c r="O31" i="2"/>
  <c r="X31" i="2" s="1"/>
  <c r="G31" i="2"/>
  <c r="I31" i="2" s="1"/>
  <c r="V30" i="2"/>
  <c r="BT30" i="2" s="1"/>
  <c r="T30" i="2"/>
  <c r="S30" i="2"/>
  <c r="R30" i="2"/>
  <c r="Q30" i="2"/>
  <c r="Z30" i="2" s="1"/>
  <c r="P30" i="2"/>
  <c r="Y30" i="2" s="1"/>
  <c r="O30" i="2"/>
  <c r="X30" i="2" s="1"/>
  <c r="K30" i="2"/>
  <c r="G30" i="2"/>
  <c r="I30" i="2" s="1"/>
  <c r="Y29" i="2"/>
  <c r="T29" i="2"/>
  <c r="S29" i="2"/>
  <c r="V29" i="2" s="1"/>
  <c r="BT29" i="2" s="1"/>
  <c r="R29" i="2"/>
  <c r="Q29" i="2"/>
  <c r="W29" i="2" s="1"/>
  <c r="BR29" i="2" s="1"/>
  <c r="P29" i="2"/>
  <c r="O29" i="2"/>
  <c r="U29" i="2" s="1"/>
  <c r="BQ29" i="2" s="1"/>
  <c r="BS29" i="2" s="1"/>
  <c r="BV29" i="2" s="1"/>
  <c r="G29" i="2"/>
  <c r="J29" i="2" s="1"/>
  <c r="BR28" i="2"/>
  <c r="BO28" i="2"/>
  <c r="Z28" i="2"/>
  <c r="Y28" i="2"/>
  <c r="X28" i="2"/>
  <c r="V28" i="2"/>
  <c r="BT28" i="2" s="1"/>
  <c r="T28" i="2"/>
  <c r="S28" i="2"/>
  <c r="R28" i="2"/>
  <c r="Q28" i="2"/>
  <c r="W28" i="2" s="1"/>
  <c r="P28" i="2"/>
  <c r="O28" i="2"/>
  <c r="BN28" i="2" s="1"/>
  <c r="BP28" i="2" s="1"/>
  <c r="BU28" i="2" s="1"/>
  <c r="K28" i="2"/>
  <c r="U28" i="2" s="1"/>
  <c r="BQ28" i="2" s="1"/>
  <c r="BS28" i="2" s="1"/>
  <c r="BV28" i="2" s="1"/>
  <c r="BW28" i="2" s="1"/>
  <c r="J28" i="2"/>
  <c r="I28" i="2"/>
  <c r="G28" i="2"/>
  <c r="BO27" i="2"/>
  <c r="Y27" i="2"/>
  <c r="X27" i="2"/>
  <c r="T27" i="2"/>
  <c r="S27" i="2"/>
  <c r="V27" i="2" s="1"/>
  <c r="BT27" i="2" s="1"/>
  <c r="R27" i="2"/>
  <c r="Q27" i="2"/>
  <c r="Z27" i="2" s="1"/>
  <c r="P27" i="2"/>
  <c r="O27" i="2"/>
  <c r="BN27" i="2" s="1"/>
  <c r="BP27" i="2" s="1"/>
  <c r="I27" i="2"/>
  <c r="G27" i="2"/>
  <c r="J27" i="2" s="1"/>
  <c r="Z26" i="2"/>
  <c r="Y26" i="2"/>
  <c r="T26" i="2"/>
  <c r="S26" i="2"/>
  <c r="V26" i="2" s="1"/>
  <c r="BT26" i="2" s="1"/>
  <c r="R26" i="2"/>
  <c r="Q26" i="2"/>
  <c r="W26" i="2" s="1"/>
  <c r="BR26" i="2" s="1"/>
  <c r="P26" i="2"/>
  <c r="O26" i="2"/>
  <c r="BN26" i="2" s="1"/>
  <c r="J26" i="2"/>
  <c r="I26" i="2"/>
  <c r="G26" i="2"/>
  <c r="Z25" i="2"/>
  <c r="T25" i="2"/>
  <c r="S25" i="2"/>
  <c r="V25" i="2" s="1"/>
  <c r="BT25" i="2" s="1"/>
  <c r="R25" i="2"/>
  <c r="Q25" i="2"/>
  <c r="W25" i="2" s="1"/>
  <c r="BR25" i="2" s="1"/>
  <c r="P25" i="2"/>
  <c r="Y25" i="2" s="1"/>
  <c r="O25" i="2"/>
  <c r="X25" i="2" s="1"/>
  <c r="G25" i="2"/>
  <c r="J25" i="2" s="1"/>
  <c r="BO24" i="2"/>
  <c r="V24" i="2"/>
  <c r="BT24" i="2" s="1"/>
  <c r="T24" i="2"/>
  <c r="S24" i="2"/>
  <c r="R24" i="2"/>
  <c r="Q24" i="2"/>
  <c r="W24" i="2" s="1"/>
  <c r="BR24" i="2" s="1"/>
  <c r="P24" i="2"/>
  <c r="Y24" i="2" s="1"/>
  <c r="O24" i="2"/>
  <c r="X24" i="2" s="1"/>
  <c r="I24" i="2"/>
  <c r="G24" i="2"/>
  <c r="V23" i="2"/>
  <c r="BT23" i="2" s="1"/>
  <c r="T23" i="2"/>
  <c r="T21" i="2" s="1"/>
  <c r="S23" i="2"/>
  <c r="R23" i="2"/>
  <c r="Q23" i="2"/>
  <c r="Z23" i="2" s="1"/>
  <c r="P23" i="2"/>
  <c r="Y23" i="2" s="1"/>
  <c r="O23" i="2"/>
  <c r="X23" i="2" s="1"/>
  <c r="J23" i="2"/>
  <c r="G23" i="2"/>
  <c r="I23" i="2" s="1"/>
  <c r="X22" i="2"/>
  <c r="T22" i="2"/>
  <c r="S22" i="2"/>
  <c r="V22" i="2" s="1"/>
  <c r="R22" i="2"/>
  <c r="R21" i="2" s="1"/>
  <c r="Q22" i="2"/>
  <c r="Z22" i="2" s="1"/>
  <c r="P22" i="2"/>
  <c r="Y22" i="2" s="1"/>
  <c r="O22" i="2"/>
  <c r="BN22" i="2" s="1"/>
  <c r="G22" i="2"/>
  <c r="G21" i="2" s="1"/>
  <c r="BM21" i="2"/>
  <c r="BM807" i="2" s="1"/>
  <c r="BL21" i="2"/>
  <c r="BL807" i="2" s="1"/>
  <c r="BK21" i="2"/>
  <c r="BK807" i="2" s="1"/>
  <c r="BJ21" i="2"/>
  <c r="BJ807" i="2" s="1"/>
  <c r="BI21" i="2"/>
  <c r="BI807" i="2" s="1"/>
  <c r="BH21" i="2"/>
  <c r="BH807" i="2" s="1"/>
  <c r="BG21" i="2"/>
  <c r="BG807" i="2" s="1"/>
  <c r="BF21" i="2"/>
  <c r="BF807" i="2" s="1"/>
  <c r="BE21" i="2"/>
  <c r="BD21" i="2"/>
  <c r="BD807" i="2" s="1"/>
  <c r="BC21" i="2"/>
  <c r="BC807" i="2" s="1"/>
  <c r="BB21" i="2"/>
  <c r="BB807" i="2" s="1"/>
  <c r="BA21" i="2"/>
  <c r="BA807" i="2" s="1"/>
  <c r="AZ21" i="2"/>
  <c r="AZ807" i="2" s="1"/>
  <c r="AY21" i="2"/>
  <c r="AX21" i="2"/>
  <c r="AX807" i="2" s="1"/>
  <c r="AW21" i="2"/>
  <c r="AW807" i="2" s="1"/>
  <c r="AV21" i="2"/>
  <c r="AV807" i="2" s="1"/>
  <c r="AU21" i="2"/>
  <c r="AU807" i="2" s="1"/>
  <c r="AT21" i="2"/>
  <c r="AS21" i="2"/>
  <c r="AR21" i="2"/>
  <c r="AR807" i="2" s="1"/>
  <c r="AQ21" i="2"/>
  <c r="AQ807" i="2" s="1"/>
  <c r="AP21" i="2"/>
  <c r="AO21" i="2"/>
  <c r="AN21" i="2"/>
  <c r="AM21" i="2"/>
  <c r="AL21" i="2"/>
  <c r="AL807" i="2" s="1"/>
  <c r="AK21" i="2"/>
  <c r="AJ21" i="2"/>
  <c r="AJ807" i="2" s="1"/>
  <c r="AI21" i="2"/>
  <c r="AI807" i="2" s="1"/>
  <c r="AH21" i="2"/>
  <c r="AG21" i="2"/>
  <c r="AF21" i="2"/>
  <c r="AF807" i="2" s="1"/>
  <c r="AE21" i="2"/>
  <c r="AE807" i="2" s="1"/>
  <c r="AC21" i="2"/>
  <c r="AC807" i="2" s="1"/>
  <c r="AB21" i="2"/>
  <c r="AB807" i="2" s="1"/>
  <c r="AA21" i="2"/>
  <c r="AA807" i="2" s="1"/>
  <c r="P21" i="2"/>
  <c r="N21" i="2"/>
  <c r="M21" i="2"/>
  <c r="M807" i="2" s="1"/>
  <c r="L21" i="2"/>
  <c r="L807" i="2" s="1"/>
  <c r="K21" i="2"/>
  <c r="H21" i="2"/>
  <c r="H807" i="2" s="1"/>
  <c r="F21" i="2"/>
  <c r="F807" i="2" s="1"/>
  <c r="E21" i="2"/>
  <c r="BO20" i="2"/>
  <c r="Z20" i="2"/>
  <c r="X20" i="2"/>
  <c r="T20" i="2"/>
  <c r="S20" i="2"/>
  <c r="V20" i="2" s="1"/>
  <c r="BT20" i="2" s="1"/>
  <c r="R20" i="2"/>
  <c r="Q20" i="2"/>
  <c r="W20" i="2" s="1"/>
  <c r="BR20" i="2" s="1"/>
  <c r="P20" i="2"/>
  <c r="Y20" i="2" s="1"/>
  <c r="O20" i="2"/>
  <c r="BN20" i="2" s="1"/>
  <c r="BP20" i="2" s="1"/>
  <c r="G20" i="2"/>
  <c r="J20" i="2" s="1"/>
  <c r="BO19" i="2"/>
  <c r="BO18" i="2" s="1"/>
  <c r="AP19" i="2"/>
  <c r="AM19" i="2"/>
  <c r="R19" i="2" s="1"/>
  <c r="R18" i="2" s="1"/>
  <c r="AG19" i="2"/>
  <c r="V19" i="2"/>
  <c r="BT19" i="2" s="1"/>
  <c r="BT18" i="2" s="1"/>
  <c r="T19" i="2"/>
  <c r="T18" i="2" s="1"/>
  <c r="S19" i="2"/>
  <c r="S18" i="2" s="1"/>
  <c r="Q19" i="2"/>
  <c r="W19" i="2" s="1"/>
  <c r="P19" i="2"/>
  <c r="Y19" i="2" s="1"/>
  <c r="K19" i="2"/>
  <c r="G19" i="2"/>
  <c r="I19" i="2" s="1"/>
  <c r="BM18" i="2"/>
  <c r="BL18" i="2"/>
  <c r="BK18" i="2"/>
  <c r="BK17" i="2" s="1"/>
  <c r="BJ18" i="2"/>
  <c r="BI18" i="2"/>
  <c r="BI17" i="2" s="1"/>
  <c r="BI16" i="2" s="1"/>
  <c r="BH18" i="2"/>
  <c r="BH17" i="2" s="1"/>
  <c r="BG18" i="2"/>
  <c r="BF18" i="2"/>
  <c r="BE18" i="2"/>
  <c r="BE17" i="2" s="1"/>
  <c r="BD18" i="2"/>
  <c r="BC18" i="2"/>
  <c r="BC17" i="2" s="1"/>
  <c r="BC16" i="2" s="1"/>
  <c r="BB18" i="2"/>
  <c r="BB17" i="2" s="1"/>
  <c r="BA18" i="2"/>
  <c r="AZ18" i="2"/>
  <c r="AY18" i="2"/>
  <c r="AY17" i="2" s="1"/>
  <c r="AX18" i="2"/>
  <c r="AW18" i="2"/>
  <c r="AW17" i="2" s="1"/>
  <c r="AW16" i="2" s="1"/>
  <c r="AV18" i="2"/>
  <c r="AV17" i="2" s="1"/>
  <c r="AU18" i="2"/>
  <c r="AT18" i="2"/>
  <c r="AS18" i="2"/>
  <c r="AS17" i="2" s="1"/>
  <c r="AR18" i="2"/>
  <c r="AQ18" i="2"/>
  <c r="AQ17" i="2" s="1"/>
  <c r="AQ16" i="2" s="1"/>
  <c r="AP18" i="2"/>
  <c r="AO18" i="2"/>
  <c r="AN18" i="2"/>
  <c r="AM18" i="2"/>
  <c r="AM17" i="2" s="1"/>
  <c r="AL18" i="2"/>
  <c r="AK18" i="2"/>
  <c r="AK17" i="2" s="1"/>
  <c r="AK16" i="2" s="1"/>
  <c r="AJ18" i="2"/>
  <c r="AJ17" i="2" s="1"/>
  <c r="AI18" i="2"/>
  <c r="AH18" i="2"/>
  <c r="AG18" i="2"/>
  <c r="AG17" i="2" s="1"/>
  <c r="AF18" i="2"/>
  <c r="AE18" i="2"/>
  <c r="AE17" i="2" s="1"/>
  <c r="AE16" i="2" s="1"/>
  <c r="AD18" i="2"/>
  <c r="AC18" i="2"/>
  <c r="AB18" i="2"/>
  <c r="AA18" i="2"/>
  <c r="AA17" i="2" s="1"/>
  <c r="Q18" i="2"/>
  <c r="Z18" i="2" s="1"/>
  <c r="N18" i="2"/>
  <c r="M18" i="2"/>
  <c r="M17" i="2" s="1"/>
  <c r="M16" i="2" s="1"/>
  <c r="L18" i="2"/>
  <c r="K18" i="2"/>
  <c r="H18" i="2"/>
  <c r="F18" i="2"/>
  <c r="F17" i="2" s="1"/>
  <c r="E18" i="2"/>
  <c r="BM17" i="2"/>
  <c r="BJ17" i="2"/>
  <c r="BG17" i="2"/>
  <c r="BD17" i="2"/>
  <c r="BA17" i="2"/>
  <c r="AX17" i="2"/>
  <c r="AX16" i="2" s="1"/>
  <c r="AU17" i="2"/>
  <c r="AR17" i="2"/>
  <c r="AO17" i="2"/>
  <c r="AL17" i="2"/>
  <c r="AI17" i="2"/>
  <c r="AF17" i="2"/>
  <c r="AF16" i="2" s="1"/>
  <c r="AC17" i="2"/>
  <c r="N17" i="2"/>
  <c r="N16" i="2" s="1"/>
  <c r="H17" i="2"/>
  <c r="E17" i="2"/>
  <c r="E16" i="2" s="1"/>
  <c r="T15" i="2"/>
  <c r="S15" i="2"/>
  <c r="V15" i="2" s="1"/>
  <c r="BT15" i="2" s="1"/>
  <c r="R15" i="2"/>
  <c r="R13" i="2" s="1"/>
  <c r="R12" i="2" s="1"/>
  <c r="Q15" i="2"/>
  <c r="W15" i="2" s="1"/>
  <c r="BR15" i="2" s="1"/>
  <c r="P15" i="2"/>
  <c r="Y15" i="2" s="1"/>
  <c r="O15" i="2"/>
  <c r="X15" i="2" s="1"/>
  <c r="G15" i="2"/>
  <c r="J15" i="2" s="1"/>
  <c r="BO14" i="2"/>
  <c r="X14" i="2"/>
  <c r="V14" i="2"/>
  <c r="T14" i="2"/>
  <c r="S14" i="2"/>
  <c r="S13" i="2" s="1"/>
  <c r="S12" i="2" s="1"/>
  <c r="R14" i="2"/>
  <c r="Q14" i="2"/>
  <c r="W14" i="2" s="1"/>
  <c r="P14" i="2"/>
  <c r="Y14" i="2" s="1"/>
  <c r="O14" i="2"/>
  <c r="BN14" i="2" s="1"/>
  <c r="I14" i="2"/>
  <c r="G14" i="2"/>
  <c r="J14" i="2" s="1"/>
  <c r="BM13" i="2"/>
  <c r="BM12" i="2" s="1"/>
  <c r="BL13" i="2"/>
  <c r="BK13" i="2"/>
  <c r="BJ13" i="2"/>
  <c r="BJ12" i="2" s="1"/>
  <c r="BI13" i="2"/>
  <c r="BH13" i="2"/>
  <c r="BG13" i="2"/>
  <c r="BG12" i="2" s="1"/>
  <c r="BF13" i="2"/>
  <c r="BE13" i="2"/>
  <c r="BD13" i="2"/>
  <c r="BD12" i="2" s="1"/>
  <c r="BC13" i="2"/>
  <c r="BB13" i="2"/>
  <c r="BB12" i="2" s="1"/>
  <c r="BA13" i="2"/>
  <c r="BA12" i="2" s="1"/>
  <c r="AZ13" i="2"/>
  <c r="AY13" i="2"/>
  <c r="AX13" i="2"/>
  <c r="AX12" i="2" s="1"/>
  <c r="AW13" i="2"/>
  <c r="AV13" i="2"/>
  <c r="AV12" i="2" s="1"/>
  <c r="AU13" i="2"/>
  <c r="AU12" i="2" s="1"/>
  <c r="AT13" i="2"/>
  <c r="AS13" i="2"/>
  <c r="AR13" i="2"/>
  <c r="AR12" i="2" s="1"/>
  <c r="AQ13" i="2"/>
  <c r="AP13" i="2"/>
  <c r="AP12" i="2" s="1"/>
  <c r="AO13" i="2"/>
  <c r="AO12" i="2" s="1"/>
  <c r="AN13" i="2"/>
  <c r="AM13" i="2"/>
  <c r="AL13" i="2"/>
  <c r="AL12" i="2" s="1"/>
  <c r="AK13" i="2"/>
  <c r="AJ13" i="2"/>
  <c r="AJ12" i="2" s="1"/>
  <c r="AI13" i="2"/>
  <c r="AI12" i="2" s="1"/>
  <c r="AH13" i="2"/>
  <c r="AG13" i="2"/>
  <c r="AF13" i="2"/>
  <c r="AF12" i="2" s="1"/>
  <c r="AE13" i="2"/>
  <c r="AD13" i="2"/>
  <c r="AD12" i="2" s="1"/>
  <c r="AC13" i="2"/>
  <c r="AC12" i="2" s="1"/>
  <c r="AB13" i="2"/>
  <c r="AA13" i="2"/>
  <c r="Z13" i="2"/>
  <c r="T13" i="2"/>
  <c r="T12" i="2" s="1"/>
  <c r="Q13" i="2"/>
  <c r="Q12" i="2" s="1"/>
  <c r="Z12" i="2" s="1"/>
  <c r="N13" i="2"/>
  <c r="N12" i="2" s="1"/>
  <c r="M13" i="2"/>
  <c r="L13" i="2"/>
  <c r="L12" i="2" s="1"/>
  <c r="K13" i="2"/>
  <c r="K12" i="2" s="1"/>
  <c r="H13" i="2"/>
  <c r="H12" i="2" s="1"/>
  <c r="T198" i="3" s="1"/>
  <c r="F13" i="2"/>
  <c r="F12" i="2" s="1"/>
  <c r="E13" i="2"/>
  <c r="E12" i="2" s="1"/>
  <c r="BL12" i="2"/>
  <c r="BK12" i="2"/>
  <c r="BI12" i="2"/>
  <c r="BH12" i="2"/>
  <c r="BF12" i="2"/>
  <c r="BE12" i="2"/>
  <c r="BC12" i="2"/>
  <c r="AZ12" i="2"/>
  <c r="AY12" i="2"/>
  <c r="AW12" i="2"/>
  <c r="AT12" i="2"/>
  <c r="AS12" i="2"/>
  <c r="AQ12" i="2"/>
  <c r="AN12" i="2"/>
  <c r="AM12" i="2"/>
  <c r="AK12" i="2"/>
  <c r="AH12" i="2"/>
  <c r="AG12" i="2"/>
  <c r="AE12" i="2"/>
  <c r="AB12" i="2"/>
  <c r="AA12" i="2"/>
  <c r="M12" i="2"/>
  <c r="T11" i="2"/>
  <c r="S11" i="2"/>
  <c r="V11" i="2" s="1"/>
  <c r="R11" i="2"/>
  <c r="R10" i="2" s="1"/>
  <c r="Q11" i="2"/>
  <c r="W11" i="2" s="1"/>
  <c r="P11" i="2"/>
  <c r="Y11" i="2" s="1"/>
  <c r="O11" i="2"/>
  <c r="X11" i="2" s="1"/>
  <c r="G11" i="2"/>
  <c r="J11" i="2" s="1"/>
  <c r="BM10" i="2"/>
  <c r="BM814" i="2" s="1"/>
  <c r="BL10" i="2"/>
  <c r="BL814" i="2" s="1"/>
  <c r="BK10" i="2"/>
  <c r="BK814" i="2" s="1"/>
  <c r="BJ10" i="2"/>
  <c r="BJ814" i="2" s="1"/>
  <c r="BI10" i="2"/>
  <c r="BI814" i="2" s="1"/>
  <c r="BH10" i="2"/>
  <c r="BH814" i="2" s="1"/>
  <c r="BG10" i="2"/>
  <c r="BG814" i="2" s="1"/>
  <c r="BF10" i="2"/>
  <c r="BF814" i="2" s="1"/>
  <c r="BE10" i="2"/>
  <c r="BE814" i="2" s="1"/>
  <c r="BD10" i="2"/>
  <c r="BD814" i="2" s="1"/>
  <c r="BC10" i="2"/>
  <c r="BC814" i="2" s="1"/>
  <c r="BB10" i="2"/>
  <c r="BB814" i="2" s="1"/>
  <c r="BA10" i="2"/>
  <c r="BA814" i="2" s="1"/>
  <c r="AZ10" i="2"/>
  <c r="AZ814" i="2" s="1"/>
  <c r="AY10" i="2"/>
  <c r="AY814" i="2" s="1"/>
  <c r="AX10" i="2"/>
  <c r="AX814" i="2" s="1"/>
  <c r="AW10" i="2"/>
  <c r="AW814" i="2" s="1"/>
  <c r="AV10" i="2"/>
  <c r="AV814" i="2" s="1"/>
  <c r="AU10" i="2"/>
  <c r="AU814" i="2" s="1"/>
  <c r="AT10" i="2"/>
  <c r="AT814" i="2" s="1"/>
  <c r="AS10" i="2"/>
  <c r="AS814" i="2" s="1"/>
  <c r="AR10" i="2"/>
  <c r="AR814" i="2" s="1"/>
  <c r="AQ10" i="2"/>
  <c r="AQ814" i="2" s="1"/>
  <c r="AP10" i="2"/>
  <c r="AP814" i="2" s="1"/>
  <c r="AO10" i="2"/>
  <c r="AO814" i="2" s="1"/>
  <c r="AN10" i="2"/>
  <c r="AN814" i="2" s="1"/>
  <c r="AM10" i="2"/>
  <c r="AL10" i="2"/>
  <c r="AL814" i="2" s="1"/>
  <c r="AK10" i="2"/>
  <c r="AK814" i="2" s="1"/>
  <c r="AJ10" i="2"/>
  <c r="AJ814" i="2" s="1"/>
  <c r="AI10" i="2"/>
  <c r="AI814" i="2" s="1"/>
  <c r="AH10" i="2"/>
  <c r="AH814" i="2" s="1"/>
  <c r="AG10" i="2"/>
  <c r="AF10" i="2"/>
  <c r="AF814" i="2" s="1"/>
  <c r="AE10" i="2"/>
  <c r="AE814" i="2" s="1"/>
  <c r="AD10" i="2"/>
  <c r="AD814" i="2" s="1"/>
  <c r="AC10" i="2"/>
  <c r="AC814" i="2" s="1"/>
  <c r="AB10" i="2"/>
  <c r="AB814" i="2" s="1"/>
  <c r="AA10" i="2"/>
  <c r="Y10" i="2"/>
  <c r="T10" i="2"/>
  <c r="T814" i="2" s="1"/>
  <c r="S10" i="2"/>
  <c r="S814" i="2" s="1"/>
  <c r="L180" i="3" s="1"/>
  <c r="Q10" i="2"/>
  <c r="P10" i="2"/>
  <c r="N10" i="2"/>
  <c r="N814" i="2" s="1"/>
  <c r="M10" i="2"/>
  <c r="M814" i="2" s="1"/>
  <c r="L10" i="2"/>
  <c r="L814" i="2" s="1"/>
  <c r="K10" i="2"/>
  <c r="K814" i="2" s="1"/>
  <c r="H10" i="2"/>
  <c r="H814" i="2" s="1"/>
  <c r="G10" i="2"/>
  <c r="F10" i="2"/>
  <c r="F814" i="2" s="1"/>
  <c r="E10" i="2"/>
  <c r="E814" i="2" s="1"/>
  <c r="BT9" i="2"/>
  <c r="BO9" i="2"/>
  <c r="Z9" i="2"/>
  <c r="V9" i="2"/>
  <c r="T9" i="2"/>
  <c r="S9" i="2"/>
  <c r="R9" i="2"/>
  <c r="Q9" i="2"/>
  <c r="W9" i="2" s="1"/>
  <c r="BR9" i="2" s="1"/>
  <c r="P9" i="2"/>
  <c r="Y9" i="2" s="1"/>
  <c r="O9" i="2"/>
  <c r="X9" i="2" s="1"/>
  <c r="G9" i="2"/>
  <c r="G6" i="2" s="1"/>
  <c r="BO8" i="2"/>
  <c r="V8" i="2"/>
  <c r="BT8" i="2" s="1"/>
  <c r="T8" i="2"/>
  <c r="S8" i="2"/>
  <c r="R8" i="2"/>
  <c r="Q8" i="2"/>
  <c r="W8" i="2" s="1"/>
  <c r="BR8" i="2" s="1"/>
  <c r="P8" i="2"/>
  <c r="Y8" i="2" s="1"/>
  <c r="O8" i="2"/>
  <c r="X8" i="2" s="1"/>
  <c r="J8" i="2"/>
  <c r="I8" i="2"/>
  <c r="G8" i="2"/>
  <c r="AP7" i="2"/>
  <c r="O7" i="2" s="1"/>
  <c r="AM7" i="2"/>
  <c r="Y7" i="2"/>
  <c r="T7" i="2"/>
  <c r="S7" i="2"/>
  <c r="V7" i="2" s="1"/>
  <c r="Q7" i="2"/>
  <c r="Z7" i="2" s="1"/>
  <c r="P7" i="2"/>
  <c r="P6" i="2" s="1"/>
  <c r="K7" i="2"/>
  <c r="G7" i="2"/>
  <c r="BM6" i="2"/>
  <c r="BL6" i="2"/>
  <c r="BL805" i="2" s="1"/>
  <c r="BK6" i="2"/>
  <c r="BK5" i="2" s="1"/>
  <c r="BJ6" i="2"/>
  <c r="BI6" i="2"/>
  <c r="BI805" i="2" s="1"/>
  <c r="BH6" i="2"/>
  <c r="BH805" i="2" s="1"/>
  <c r="BG6" i="2"/>
  <c r="BF6" i="2"/>
  <c r="BF805" i="2" s="1"/>
  <c r="BE6" i="2"/>
  <c r="BE805" i="2" s="1"/>
  <c r="BD6" i="2"/>
  <c r="BC6" i="2"/>
  <c r="BC805" i="2" s="1"/>
  <c r="BB6" i="2"/>
  <c r="BB805" i="2" s="1"/>
  <c r="BA6" i="2"/>
  <c r="AZ6" i="2"/>
  <c r="AZ805" i="2" s="1"/>
  <c r="AY6" i="2"/>
  <c r="AY805" i="2" s="1"/>
  <c r="AX6" i="2"/>
  <c r="AW6" i="2"/>
  <c r="AW805" i="2" s="1"/>
  <c r="AV6" i="2"/>
  <c r="AV805" i="2" s="1"/>
  <c r="AU6" i="2"/>
  <c r="AT6" i="2"/>
  <c r="AT805" i="2" s="1"/>
  <c r="AS6" i="2"/>
  <c r="AS805" i="2" s="1"/>
  <c r="AR6" i="2"/>
  <c r="AQ6" i="2"/>
  <c r="AQ805" i="2" s="1"/>
  <c r="AP6" i="2"/>
  <c r="AP805" i="2" s="1"/>
  <c r="AO6" i="2"/>
  <c r="AN6" i="2"/>
  <c r="AN805" i="2" s="1"/>
  <c r="AM6" i="2"/>
  <c r="AM805" i="2" s="1"/>
  <c r="AL6" i="2"/>
  <c r="AK6" i="2"/>
  <c r="AK805" i="2" s="1"/>
  <c r="AJ6" i="2"/>
  <c r="AJ805" i="2" s="1"/>
  <c r="AI6" i="2"/>
  <c r="AH6" i="2"/>
  <c r="AH805" i="2" s="1"/>
  <c r="AG6" i="2"/>
  <c r="AG5" i="2" s="1"/>
  <c r="AG4" i="2" s="1"/>
  <c r="AF6" i="2"/>
  <c r="AE6" i="2"/>
  <c r="AE805" i="2" s="1"/>
  <c r="AD6" i="2"/>
  <c r="AD805" i="2" s="1"/>
  <c r="AC6" i="2"/>
  <c r="AB6" i="2"/>
  <c r="AB805" i="2" s="1"/>
  <c r="AA6" i="2"/>
  <c r="AA805" i="2" s="1"/>
  <c r="T6" i="2"/>
  <c r="Q6" i="2"/>
  <c r="N6" i="2"/>
  <c r="M6" i="2"/>
  <c r="M805" i="2" s="1"/>
  <c r="L6" i="2"/>
  <c r="L805" i="2" s="1"/>
  <c r="K6" i="2"/>
  <c r="H6" i="2"/>
  <c r="F6" i="2"/>
  <c r="F805" i="2" s="1"/>
  <c r="E6" i="2"/>
  <c r="BM5" i="2"/>
  <c r="BM4" i="2" s="1"/>
  <c r="BJ5" i="2"/>
  <c r="BJ4" i="2" s="1"/>
  <c r="BG5" i="2"/>
  <c r="BG4" i="2" s="1"/>
  <c r="BD5" i="2"/>
  <c r="BD4" i="2" s="1"/>
  <c r="BA5" i="2"/>
  <c r="BA4" i="2" s="1"/>
  <c r="AX5" i="2"/>
  <c r="AU5" i="2"/>
  <c r="AU4" i="2" s="1"/>
  <c r="AR5" i="2"/>
  <c r="AR4" i="2" s="1"/>
  <c r="AO5" i="2"/>
  <c r="AO4" i="2" s="1"/>
  <c r="AL5" i="2"/>
  <c r="AL4" i="2" s="1"/>
  <c r="AI5" i="2"/>
  <c r="AI4" i="2" s="1"/>
  <c r="AF5" i="2"/>
  <c r="AC5" i="2"/>
  <c r="AC4" i="2" s="1"/>
  <c r="T5" i="2"/>
  <c r="T4" i="2" s="1"/>
  <c r="Q5" i="2"/>
  <c r="Z5" i="2" s="1"/>
  <c r="N5" i="2"/>
  <c r="N4" i="2" s="1"/>
  <c r="K5" i="2"/>
  <c r="K4" i="2" s="1"/>
  <c r="H5" i="2"/>
  <c r="H4" i="2" s="1"/>
  <c r="E5" i="2"/>
  <c r="S198" i="3" s="1"/>
  <c r="AI157" i="2" l="1"/>
  <c r="AO157" i="2"/>
  <c r="AU157" i="2"/>
  <c r="BA157" i="2"/>
  <c r="BG157" i="2"/>
  <c r="BM157" i="2"/>
  <c r="V184" i="2"/>
  <c r="AD157" i="2"/>
  <c r="AT806" i="2"/>
  <c r="AZ806" i="2"/>
  <c r="BF806" i="2"/>
  <c r="BL806" i="2"/>
  <c r="AB806" i="2"/>
  <c r="AH806" i="2"/>
  <c r="AN806" i="2"/>
  <c r="AB175" i="2"/>
  <c r="AH175" i="2"/>
  <c r="AN175" i="2"/>
  <c r="AT175" i="2"/>
  <c r="AZ175" i="2"/>
  <c r="BF175" i="2"/>
  <c r="BL175" i="2"/>
  <c r="R175" i="2"/>
  <c r="AU813" i="2"/>
  <c r="BA813" i="2"/>
  <c r="BG813" i="2"/>
  <c r="AC157" i="2"/>
  <c r="AP157" i="2"/>
  <c r="BH157" i="2"/>
  <c r="R190" i="2"/>
  <c r="AB808" i="2"/>
  <c r="AH808" i="2"/>
  <c r="AN808" i="2"/>
  <c r="AT808" i="2"/>
  <c r="AZ808" i="2"/>
  <c r="BF808" i="2"/>
  <c r="AC813" i="2"/>
  <c r="AI813" i="2"/>
  <c r="AO813" i="2"/>
  <c r="Q194" i="2"/>
  <c r="T186" i="2"/>
  <c r="BO191" i="2"/>
  <c r="BP191" i="2" s="1"/>
  <c r="BU191" i="2" s="1"/>
  <c r="X193" i="2"/>
  <c r="AG807" i="2"/>
  <c r="AS807" i="2"/>
  <c r="BE807" i="2"/>
  <c r="AG186" i="2"/>
  <c r="AM186" i="2"/>
  <c r="AM157" i="2" s="1"/>
  <c r="AS186" i="2"/>
  <c r="AS157" i="2" s="1"/>
  <c r="AY186" i="2"/>
  <c r="BE186" i="2"/>
  <c r="AM807" i="2"/>
  <c r="AY807" i="2"/>
  <c r="AB186" i="2"/>
  <c r="AH186" i="2"/>
  <c r="AN186" i="2"/>
  <c r="AT186" i="2"/>
  <c r="AZ186" i="2"/>
  <c r="BF186" i="2"/>
  <c r="R186" i="2"/>
  <c r="X190" i="2"/>
  <c r="U190" i="2"/>
  <c r="AG196" i="2"/>
  <c r="BE196" i="2"/>
  <c r="BE157" i="2" s="1"/>
  <c r="R196" i="2"/>
  <c r="W204" i="2"/>
  <c r="AS813" i="2"/>
  <c r="AY813" i="2"/>
  <c r="BE813" i="2"/>
  <c r="BK813" i="2"/>
  <c r="AG813" i="2"/>
  <c r="AM813" i="2"/>
  <c r="AF4" i="2"/>
  <c r="AX4" i="2"/>
  <c r="U198" i="3"/>
  <c r="T197" i="3"/>
  <c r="AO16" i="2"/>
  <c r="BP80" i="2"/>
  <c r="W97" i="2"/>
  <c r="BR167" i="2"/>
  <c r="F33" i="3"/>
  <c r="U7" i="2"/>
  <c r="BP14" i="2"/>
  <c r="V13" i="2"/>
  <c r="V12" i="2" s="1"/>
  <c r="Y6" i="2"/>
  <c r="P5" i="2"/>
  <c r="O6" i="2"/>
  <c r="J7" i="2"/>
  <c r="X7" i="2"/>
  <c r="BN7" i="2"/>
  <c r="I6" i="2"/>
  <c r="G5" i="2"/>
  <c r="J6" i="2"/>
  <c r="BR11" i="2"/>
  <c r="BR10" i="2" s="1"/>
  <c r="W10" i="2"/>
  <c r="BU20" i="2"/>
  <c r="BT22" i="2"/>
  <c r="BT21" i="2" s="1"/>
  <c r="V21" i="2"/>
  <c r="BR143" i="2"/>
  <c r="BR142" i="2" s="1"/>
  <c r="W142" i="2"/>
  <c r="M119" i="3"/>
  <c r="BK4" i="2"/>
  <c r="BR14" i="2"/>
  <c r="BR13" i="2" s="1"/>
  <c r="BR12" i="2" s="1"/>
  <c r="W13" i="2"/>
  <c r="W12" i="2" s="1"/>
  <c r="I21" i="2"/>
  <c r="BU27" i="2"/>
  <c r="BT7" i="2"/>
  <c r="BT6" i="2" s="1"/>
  <c r="V6" i="2"/>
  <c r="V10" i="2"/>
  <c r="BT11" i="2"/>
  <c r="BT10" i="2" s="1"/>
  <c r="BP22" i="2"/>
  <c r="BP57" i="2"/>
  <c r="BU153" i="2"/>
  <c r="BP177" i="2"/>
  <c r="W18" i="2"/>
  <c r="BR19" i="2"/>
  <c r="BR18" i="2" s="1"/>
  <c r="BU54" i="2"/>
  <c r="AA5" i="2"/>
  <c r="AA4" i="2" s="1"/>
  <c r="AM5" i="2"/>
  <c r="AM4" i="2" s="1"/>
  <c r="AS5" i="2"/>
  <c r="AS4" i="2" s="1"/>
  <c r="AY5" i="2"/>
  <c r="AY4" i="2" s="1"/>
  <c r="BE5" i="2"/>
  <c r="BE4" i="2" s="1"/>
  <c r="W7" i="2"/>
  <c r="Z8" i="2"/>
  <c r="I9" i="2"/>
  <c r="I11" i="2"/>
  <c r="Z14" i="2"/>
  <c r="I15" i="2"/>
  <c r="G18" i="2"/>
  <c r="Z19" i="2"/>
  <c r="BO22" i="2"/>
  <c r="U23" i="2"/>
  <c r="BQ23" i="2" s="1"/>
  <c r="BN23" i="2"/>
  <c r="J24" i="2"/>
  <c r="Z24" i="2"/>
  <c r="I25" i="2"/>
  <c r="X26" i="2"/>
  <c r="W27" i="2"/>
  <c r="BR27" i="2" s="1"/>
  <c r="W30" i="2"/>
  <c r="BR30" i="2" s="1"/>
  <c r="J34" i="2"/>
  <c r="I34" i="2"/>
  <c r="BP39" i="2"/>
  <c r="O41" i="2"/>
  <c r="J41" i="2" s="1"/>
  <c r="J42" i="2"/>
  <c r="I42" i="2"/>
  <c r="BT48" i="2"/>
  <c r="U50" i="2"/>
  <c r="BQ50" i="2" s="1"/>
  <c r="BS50" i="2" s="1"/>
  <c r="BV50" i="2" s="1"/>
  <c r="AB810" i="2"/>
  <c r="AN810" i="2"/>
  <c r="AT810" i="2"/>
  <c r="AZ810" i="2"/>
  <c r="BF810" i="2"/>
  <c r="BL810" i="2"/>
  <c r="BP65" i="2"/>
  <c r="J73" i="2"/>
  <c r="I73" i="2"/>
  <c r="BP79" i="2"/>
  <c r="U82" i="2"/>
  <c r="BQ82" i="2" s="1"/>
  <c r="K59" i="2"/>
  <c r="Y92" i="2"/>
  <c r="P91" i="2"/>
  <c r="Q97" i="2"/>
  <c r="V100" i="2"/>
  <c r="BT100" i="2" s="1"/>
  <c r="S97" i="2"/>
  <c r="J101" i="2"/>
  <c r="G97" i="2"/>
  <c r="I101" i="2"/>
  <c r="O101" i="2"/>
  <c r="U101" i="2" s="1"/>
  <c r="AP97" i="2"/>
  <c r="AP813" i="2" s="1"/>
  <c r="Z111" i="2"/>
  <c r="BO111" i="2"/>
  <c r="BP111" i="2" s="1"/>
  <c r="V115" i="2"/>
  <c r="G115" i="2"/>
  <c r="J116" i="2"/>
  <c r="I116" i="2"/>
  <c r="BO117" i="2"/>
  <c r="BP122" i="2"/>
  <c r="V121" i="2"/>
  <c r="BT122" i="2"/>
  <c r="BT121" i="2" s="1"/>
  <c r="BU125" i="2"/>
  <c r="BP130" i="2"/>
  <c r="U133" i="2"/>
  <c r="BQ133" i="2" s="1"/>
  <c r="BS133" i="2" s="1"/>
  <c r="BV133" i="2" s="1"/>
  <c r="J136" i="2"/>
  <c r="I136" i="2"/>
  <c r="L141" i="2"/>
  <c r="Q147" i="3" s="1"/>
  <c r="T147" i="3" s="1"/>
  <c r="AA141" i="2"/>
  <c r="AA112" i="2" s="1"/>
  <c r="AA16" i="2" s="1"/>
  <c r="AG141" i="2"/>
  <c r="AG112" i="2" s="1"/>
  <c r="AG16" i="2" s="1"/>
  <c r="AM141" i="2"/>
  <c r="AM112" i="2" s="1"/>
  <c r="AM16" i="2" s="1"/>
  <c r="AS141" i="2"/>
  <c r="AS112" i="2" s="1"/>
  <c r="AS16" i="2" s="1"/>
  <c r="AY141" i="2"/>
  <c r="AY112" i="2" s="1"/>
  <c r="AY16" i="2" s="1"/>
  <c r="BE141" i="2"/>
  <c r="BE112" i="2" s="1"/>
  <c r="BE16" i="2" s="1"/>
  <c r="BK141" i="2"/>
  <c r="BK112" i="2" s="1"/>
  <c r="BK16" i="2" s="1"/>
  <c r="Z145" i="2"/>
  <c r="Q144" i="2"/>
  <c r="Z144" i="2" s="1"/>
  <c r="BP147" i="2"/>
  <c r="BT147" i="2"/>
  <c r="N157" i="2"/>
  <c r="AQ157" i="2"/>
  <c r="AW157" i="2"/>
  <c r="BI157" i="2"/>
  <c r="V162" i="2"/>
  <c r="J164" i="2"/>
  <c r="I164" i="2"/>
  <c r="G162" i="2"/>
  <c r="R166" i="2"/>
  <c r="R816" i="2" s="1"/>
  <c r="BU170" i="2"/>
  <c r="BN174" i="2"/>
  <c r="BP174" i="2" s="1"/>
  <c r="Y188" i="2"/>
  <c r="P187" i="2"/>
  <c r="AB196" i="2"/>
  <c r="AH196" i="2"/>
  <c r="AN196" i="2"/>
  <c r="AT196" i="2"/>
  <c r="BF196" i="2"/>
  <c r="BL196" i="2"/>
  <c r="Z198" i="2"/>
  <c r="BO198" i="2"/>
  <c r="W198" i="2"/>
  <c r="Q197" i="2"/>
  <c r="AB5" i="2"/>
  <c r="AB4" i="2" s="1"/>
  <c r="AH5" i="2"/>
  <c r="AH4" i="2" s="1"/>
  <c r="AN5" i="2"/>
  <c r="AN4" i="2" s="1"/>
  <c r="AT5" i="2"/>
  <c r="AT4" i="2" s="1"/>
  <c r="AZ5" i="2"/>
  <c r="AZ4" i="2" s="1"/>
  <c r="BF5" i="2"/>
  <c r="BF4" i="2" s="1"/>
  <c r="BL5" i="2"/>
  <c r="BL4" i="2" s="1"/>
  <c r="AC805" i="2"/>
  <c r="AI805" i="2"/>
  <c r="AO805" i="2"/>
  <c r="AU805" i="2"/>
  <c r="BA805" i="2"/>
  <c r="BG805" i="2"/>
  <c r="BM805" i="2"/>
  <c r="I7" i="2"/>
  <c r="R7" i="2"/>
  <c r="R6" i="2" s="1"/>
  <c r="BO7" i="2"/>
  <c r="BO6" i="2" s="1"/>
  <c r="U8" i="2"/>
  <c r="BQ8" i="2" s="1"/>
  <c r="BS8" i="2" s="1"/>
  <c r="BV8" i="2" s="1"/>
  <c r="BN8" i="2"/>
  <c r="BP8" i="2" s="1"/>
  <c r="J9" i="2"/>
  <c r="Z11" i="2"/>
  <c r="G13" i="2"/>
  <c r="U14" i="2"/>
  <c r="BT14" i="2"/>
  <c r="BT13" i="2" s="1"/>
  <c r="BT12" i="2" s="1"/>
  <c r="Z15" i="2"/>
  <c r="O19" i="2"/>
  <c r="O21" i="2"/>
  <c r="J21" i="2" s="1"/>
  <c r="W22" i="2"/>
  <c r="BO23" i="2"/>
  <c r="U24" i="2"/>
  <c r="BQ24" i="2" s="1"/>
  <c r="BS24" i="2" s="1"/>
  <c r="BV24" i="2" s="1"/>
  <c r="BN24" i="2"/>
  <c r="BP24" i="2" s="1"/>
  <c r="BO29" i="2"/>
  <c r="Z29" i="2"/>
  <c r="X29" i="2"/>
  <c r="BO30" i="2"/>
  <c r="BU31" i="2"/>
  <c r="BU33" i="2"/>
  <c r="BN35" i="2"/>
  <c r="X35" i="2"/>
  <c r="U35" i="2"/>
  <c r="BQ35" i="2" s="1"/>
  <c r="Z40" i="2"/>
  <c r="BO40" i="2"/>
  <c r="BP40" i="2" s="1"/>
  <c r="BP42" i="2"/>
  <c r="I46" i="2"/>
  <c r="X47" i="2"/>
  <c r="O46" i="2"/>
  <c r="J46" i="2" s="1"/>
  <c r="U47" i="2"/>
  <c r="BN49" i="2"/>
  <c r="BP49" i="2" s="1"/>
  <c r="BN50" i="2"/>
  <c r="BP50" i="2" s="1"/>
  <c r="X50" i="2"/>
  <c r="BS54" i="2"/>
  <c r="BV54" i="2" s="1"/>
  <c r="BW54" i="2" s="1"/>
  <c r="R59" i="2"/>
  <c r="Z61" i="2"/>
  <c r="Q59" i="2"/>
  <c r="BO61" i="2"/>
  <c r="BP61" i="2" s="1"/>
  <c r="U67" i="2"/>
  <c r="BQ67" i="2" s="1"/>
  <c r="BS67" i="2" s="1"/>
  <c r="BV67" i="2" s="1"/>
  <c r="BP73" i="2"/>
  <c r="U76" i="2"/>
  <c r="BQ76" i="2" s="1"/>
  <c r="BS76" i="2" s="1"/>
  <c r="BV76" i="2" s="1"/>
  <c r="I86" i="2"/>
  <c r="X87" i="2"/>
  <c r="O86" i="2"/>
  <c r="J86" i="2" s="1"/>
  <c r="U87" i="2"/>
  <c r="K811" i="2"/>
  <c r="BU96" i="2"/>
  <c r="T97" i="2"/>
  <c r="T813" i="2" s="1"/>
  <c r="BP98" i="2"/>
  <c r="BT104" i="2"/>
  <c r="BT103" i="2" s="1"/>
  <c r="V103" i="2"/>
  <c r="G113" i="2"/>
  <c r="J114" i="2"/>
  <c r="I114" i="2"/>
  <c r="T112" i="2"/>
  <c r="BN115" i="2"/>
  <c r="BP116" i="2"/>
  <c r="Z119" i="2"/>
  <c r="Q117" i="2"/>
  <c r="BO119" i="2"/>
  <c r="BP119" i="2" s="1"/>
  <c r="Y122" i="2"/>
  <c r="P121" i="2"/>
  <c r="Y121" i="2" s="1"/>
  <c r="BP136" i="2"/>
  <c r="Y147" i="2"/>
  <c r="AT157" i="2"/>
  <c r="Z159" i="2"/>
  <c r="AE157" i="2"/>
  <c r="R158" i="2"/>
  <c r="BP164" i="2"/>
  <c r="S169" i="2"/>
  <c r="V169" i="2" s="1"/>
  <c r="BT169" i="2" s="1"/>
  <c r="P169" i="2"/>
  <c r="Y169" i="2" s="1"/>
  <c r="AB166" i="2"/>
  <c r="AB158" i="2" s="1"/>
  <c r="AB157" i="2" s="1"/>
  <c r="Z172" i="2"/>
  <c r="BO172" i="2"/>
  <c r="BP172" i="2" s="1"/>
  <c r="V179" i="2"/>
  <c r="BT179" i="2" s="1"/>
  <c r="S176" i="2"/>
  <c r="S175" i="2" s="1"/>
  <c r="I195" i="2"/>
  <c r="J195" i="2"/>
  <c r="G194" i="2"/>
  <c r="BS203" i="2"/>
  <c r="BV203" i="2" s="1"/>
  <c r="BP208" i="2"/>
  <c r="R198" i="3"/>
  <c r="U9" i="2"/>
  <c r="BQ9" i="2" s="1"/>
  <c r="BS9" i="2" s="1"/>
  <c r="BV9" i="2" s="1"/>
  <c r="BN9" i="2"/>
  <c r="BP9" i="2" s="1"/>
  <c r="U11" i="2"/>
  <c r="BN11" i="2"/>
  <c r="U15" i="2"/>
  <c r="BQ15" i="2" s="1"/>
  <c r="BS15" i="2" s="1"/>
  <c r="BV15" i="2" s="1"/>
  <c r="BN15" i="2"/>
  <c r="BN13" i="2" s="1"/>
  <c r="BN12" i="2" s="1"/>
  <c r="W23" i="2"/>
  <c r="BR23" i="2" s="1"/>
  <c r="U25" i="2"/>
  <c r="BQ25" i="2" s="1"/>
  <c r="BS25" i="2" s="1"/>
  <c r="BV25" i="2" s="1"/>
  <c r="BN25" i="2"/>
  <c r="BP25" i="2" s="1"/>
  <c r="BU38" i="2"/>
  <c r="Z43" i="2"/>
  <c r="BO43" i="2"/>
  <c r="BP43" i="2" s="1"/>
  <c r="BU45" i="2"/>
  <c r="Z66" i="2"/>
  <c r="BO66" i="2"/>
  <c r="BP66" i="2" s="1"/>
  <c r="S78" i="2"/>
  <c r="V78" i="2" s="1"/>
  <c r="BT78" i="2" s="1"/>
  <c r="P78" i="2"/>
  <c r="BU82" i="2"/>
  <c r="Z84" i="2"/>
  <c r="BO84" i="2"/>
  <c r="BP84" i="2" s="1"/>
  <c r="BU88" i="2"/>
  <c r="BQ98" i="2"/>
  <c r="BU100" i="2"/>
  <c r="BW100" i="2"/>
  <c r="Z105" i="2"/>
  <c r="V109" i="2"/>
  <c r="BT109" i="2" s="1"/>
  <c r="S107" i="2"/>
  <c r="J110" i="2"/>
  <c r="I110" i="2"/>
  <c r="G107" i="2"/>
  <c r="L112" i="2"/>
  <c r="BN113" i="2"/>
  <c r="BP114" i="2"/>
  <c r="BU135" i="2"/>
  <c r="BW135" i="2"/>
  <c r="Z143" i="2"/>
  <c r="Q142" i="2"/>
  <c r="BO143" i="2"/>
  <c r="BR155" i="2"/>
  <c r="BR154" i="2" s="1"/>
  <c r="W154" i="2"/>
  <c r="AZ157" i="2"/>
  <c r="BT160" i="2"/>
  <c r="BT159" i="2" s="1"/>
  <c r="V159" i="2"/>
  <c r="BR163" i="2"/>
  <c r="X169" i="2"/>
  <c r="BN169" i="2"/>
  <c r="BP169" i="2" s="1"/>
  <c r="I185" i="2"/>
  <c r="G184" i="2"/>
  <c r="J185" i="2"/>
  <c r="E192" i="2"/>
  <c r="E808" i="2" s="1"/>
  <c r="G193" i="2"/>
  <c r="J204" i="2"/>
  <c r="I204" i="2"/>
  <c r="E4" i="2"/>
  <c r="Q4" i="2"/>
  <c r="F5" i="2"/>
  <c r="F4" i="2" s="1"/>
  <c r="L5" i="2"/>
  <c r="L4" i="2" s="1"/>
  <c r="AD5" i="2"/>
  <c r="AD4" i="2" s="1"/>
  <c r="AJ5" i="2"/>
  <c r="AJ4" i="2" s="1"/>
  <c r="AP5" i="2"/>
  <c r="AP4" i="2" s="1"/>
  <c r="AV5" i="2"/>
  <c r="AV4" i="2" s="1"/>
  <c r="BB5" i="2"/>
  <c r="BB4" i="2" s="1"/>
  <c r="BH5" i="2"/>
  <c r="BH4" i="2" s="1"/>
  <c r="S6" i="2"/>
  <c r="AQ804" i="2"/>
  <c r="AW804" i="2"/>
  <c r="BC804" i="2"/>
  <c r="BI804" i="2"/>
  <c r="Z10" i="2"/>
  <c r="BO11" i="2"/>
  <c r="BO10" i="2" s="1"/>
  <c r="O13" i="2"/>
  <c r="BO15" i="2"/>
  <c r="BO13" i="2" s="1"/>
  <c r="BO12" i="2" s="1"/>
  <c r="P18" i="2"/>
  <c r="V18" i="2"/>
  <c r="I20" i="2"/>
  <c r="Q21" i="2"/>
  <c r="I22" i="2"/>
  <c r="BO25" i="2"/>
  <c r="U26" i="2"/>
  <c r="BQ26" i="2" s="1"/>
  <c r="BS26" i="2" s="1"/>
  <c r="BV26" i="2" s="1"/>
  <c r="BN29" i="2"/>
  <c r="BP29" i="2" s="1"/>
  <c r="J30" i="2"/>
  <c r="BR47" i="2"/>
  <c r="Q46" i="2"/>
  <c r="Z54" i="2"/>
  <c r="S58" i="2"/>
  <c r="V58" i="2" s="1"/>
  <c r="BT58" i="2" s="1"/>
  <c r="P58" i="2"/>
  <c r="Y58" i="2" s="1"/>
  <c r="G59" i="2"/>
  <c r="J60" i="2"/>
  <c r="I60" i="2"/>
  <c r="T59" i="2"/>
  <c r="T17" i="2" s="1"/>
  <c r="T16" i="2" s="1"/>
  <c r="V65" i="2"/>
  <c r="BT65" i="2" s="1"/>
  <c r="BT59" i="2" s="1"/>
  <c r="S59" i="2"/>
  <c r="BP67" i="2"/>
  <c r="U70" i="2"/>
  <c r="BQ70" i="2" s="1"/>
  <c r="BS70" i="2" s="1"/>
  <c r="BV70" i="2" s="1"/>
  <c r="BP76" i="2"/>
  <c r="X78" i="2"/>
  <c r="BN78" i="2"/>
  <c r="BP78" i="2" s="1"/>
  <c r="Z80" i="2"/>
  <c r="BO80" i="2"/>
  <c r="Z86" i="2"/>
  <c r="BP90" i="2"/>
  <c r="V93" i="2"/>
  <c r="BT93" i="2" s="1"/>
  <c r="S91" i="2"/>
  <c r="BS94" i="2"/>
  <c r="BV94" i="2" s="1"/>
  <c r="BT98" i="2"/>
  <c r="BT97" i="2" s="1"/>
  <c r="R101" i="2"/>
  <c r="Y104" i="2"/>
  <c r="P103" i="2"/>
  <c r="Y103" i="2" s="1"/>
  <c r="R104" i="2"/>
  <c r="R103" i="2" s="1"/>
  <c r="R814" i="2" s="1"/>
  <c r="M180" i="3" s="1"/>
  <c r="N180" i="3" s="1"/>
  <c r="O104" i="2"/>
  <c r="BP110" i="2"/>
  <c r="AB112" i="2"/>
  <c r="AH112" i="2"/>
  <c r="AT112" i="2"/>
  <c r="AZ112" i="2"/>
  <c r="BF112" i="2"/>
  <c r="BL112" i="2"/>
  <c r="BR116" i="2"/>
  <c r="BR115" i="2" s="1"/>
  <c r="W115" i="2"/>
  <c r="G117" i="2"/>
  <c r="J118" i="2"/>
  <c r="I118" i="2"/>
  <c r="V127" i="2"/>
  <c r="S126" i="2"/>
  <c r="Z131" i="2"/>
  <c r="BO131" i="2"/>
  <c r="BP131" i="2" s="1"/>
  <c r="M94" i="3"/>
  <c r="L121" i="3" s="1"/>
  <c r="N121" i="3" s="1"/>
  <c r="X142" i="2"/>
  <c r="AD141" i="2"/>
  <c r="AJ141" i="2"/>
  <c r="AJ112" i="2" s="1"/>
  <c r="AJ16" i="2" s="1"/>
  <c r="AP141" i="2"/>
  <c r="AV141" i="2"/>
  <c r="BB141" i="2"/>
  <c r="BH141" i="2"/>
  <c r="R141" i="2"/>
  <c r="R112" i="2" s="1"/>
  <c r="BR150" i="2"/>
  <c r="BR149" i="2" s="1"/>
  <c r="W149" i="2"/>
  <c r="BF157" i="2"/>
  <c r="U159" i="2"/>
  <c r="BQ160" i="2"/>
  <c r="T158" i="2"/>
  <c r="BO162" i="2"/>
  <c r="BO158" i="2" s="1"/>
  <c r="Z165" i="2"/>
  <c r="BO165" i="2"/>
  <c r="BP165" i="2" s="1"/>
  <c r="I166" i="2"/>
  <c r="BN166" i="2"/>
  <c r="BP168" i="2"/>
  <c r="BT176" i="2"/>
  <c r="BT175" i="2" s="1"/>
  <c r="BS179" i="2"/>
  <c r="BV179" i="2" s="1"/>
  <c r="BN180" i="2"/>
  <c r="BP181" i="2"/>
  <c r="V180" i="2"/>
  <c r="BT181" i="2"/>
  <c r="BT180" i="2" s="1"/>
  <c r="W182" i="2"/>
  <c r="U185" i="2"/>
  <c r="BQ185" i="2" s="1"/>
  <c r="M186" i="2"/>
  <c r="X199" i="2"/>
  <c r="O196" i="2"/>
  <c r="X196" i="2" s="1"/>
  <c r="Z203" i="2"/>
  <c r="BO203" i="2"/>
  <c r="M5" i="2"/>
  <c r="M4" i="2" s="1"/>
  <c r="AE5" i="2"/>
  <c r="AE4" i="2" s="1"/>
  <c r="AK5" i="2"/>
  <c r="AK4" i="2" s="1"/>
  <c r="AQ5" i="2"/>
  <c r="AQ4" i="2" s="1"/>
  <c r="AW5" i="2"/>
  <c r="AW4" i="2" s="1"/>
  <c r="BC5" i="2"/>
  <c r="BC4" i="2" s="1"/>
  <c r="BI5" i="2"/>
  <c r="BI4" i="2" s="1"/>
  <c r="H805" i="2"/>
  <c r="N805" i="2"/>
  <c r="Z6" i="2"/>
  <c r="AF805" i="2"/>
  <c r="AL805" i="2"/>
  <c r="AR805" i="2"/>
  <c r="AX805" i="2"/>
  <c r="BD805" i="2"/>
  <c r="BJ805" i="2"/>
  <c r="I10" i="2"/>
  <c r="O10" i="2"/>
  <c r="AA814" i="2"/>
  <c r="AA804" i="2" s="1"/>
  <c r="AG814" i="2"/>
  <c r="AM814" i="2"/>
  <c r="P13" i="2"/>
  <c r="AB17" i="2"/>
  <c r="AH17" i="2"/>
  <c r="AH16" i="2" s="1"/>
  <c r="AN17" i="2"/>
  <c r="AT17" i="2"/>
  <c r="AT16" i="2" s="1"/>
  <c r="AZ17" i="2"/>
  <c r="AZ16" i="2" s="1"/>
  <c r="BF17" i="2"/>
  <c r="BF16" i="2" s="1"/>
  <c r="BL17" i="2"/>
  <c r="AD21" i="2"/>
  <c r="AD807" i="2" s="1"/>
  <c r="AD804" i="2" s="1"/>
  <c r="J22" i="2"/>
  <c r="BO26" i="2"/>
  <c r="BP26" i="2" s="1"/>
  <c r="U27" i="2"/>
  <c r="BQ27" i="2" s="1"/>
  <c r="BS27" i="2" s="1"/>
  <c r="BV27" i="2" s="1"/>
  <c r="BW27" i="2" s="1"/>
  <c r="I29" i="2"/>
  <c r="U31" i="2"/>
  <c r="BQ31" i="2" s="1"/>
  <c r="BS31" i="2" s="1"/>
  <c r="BV31" i="2" s="1"/>
  <c r="BW31" i="2" s="1"/>
  <c r="J36" i="2"/>
  <c r="I36" i="2"/>
  <c r="U38" i="2"/>
  <c r="BQ38" i="2" s="1"/>
  <c r="BS38" i="2" s="1"/>
  <c r="BV38" i="2" s="1"/>
  <c r="BW38" i="2" s="1"/>
  <c r="BN47" i="2"/>
  <c r="U49" i="2"/>
  <c r="BQ49" i="2" s="1"/>
  <c r="BS49" i="2" s="1"/>
  <c r="BV49" i="2" s="1"/>
  <c r="BU51" i="2"/>
  <c r="Z57" i="2"/>
  <c r="BO57" i="2"/>
  <c r="BN58" i="2"/>
  <c r="BP58" i="2" s="1"/>
  <c r="X58" i="2"/>
  <c r="V59" i="2"/>
  <c r="BP60" i="2"/>
  <c r="Z74" i="2"/>
  <c r="BO74" i="2"/>
  <c r="BP74" i="2" s="1"/>
  <c r="BU81" i="2"/>
  <c r="J83" i="2"/>
  <c r="I83" i="2"/>
  <c r="BT86" i="2"/>
  <c r="K91" i="2"/>
  <c r="K812" i="2" s="1"/>
  <c r="BR97" i="2"/>
  <c r="Y98" i="2"/>
  <c r="P97" i="2"/>
  <c r="Y107" i="2"/>
  <c r="BU109" i="2"/>
  <c r="BW109" i="2"/>
  <c r="W111" i="2"/>
  <c r="BR111" i="2" s="1"/>
  <c r="F112" i="2"/>
  <c r="F16" i="2" s="1"/>
  <c r="BR114" i="2"/>
  <c r="BR113" i="2" s="1"/>
  <c r="W113" i="2"/>
  <c r="V117" i="2"/>
  <c r="BN117" i="2"/>
  <c r="BP118" i="2"/>
  <c r="BU132" i="2"/>
  <c r="Z137" i="2"/>
  <c r="BO137" i="2"/>
  <c r="BP137" i="2" s="1"/>
  <c r="BN139" i="2"/>
  <c r="BP140" i="2"/>
  <c r="V139" i="2"/>
  <c r="BT140" i="2"/>
  <c r="BT139" i="2" s="1"/>
  <c r="W145" i="2"/>
  <c r="S146" i="2"/>
  <c r="S148" i="2"/>
  <c r="V148" i="2" s="1"/>
  <c r="BT148" i="2" s="1"/>
  <c r="AN146" i="2"/>
  <c r="AN141" i="2" s="1"/>
  <c r="AN112" i="2" s="1"/>
  <c r="P148" i="2"/>
  <c r="Y148" i="2" s="1"/>
  <c r="BO151" i="2"/>
  <c r="J153" i="2"/>
  <c r="I153" i="2"/>
  <c r="G151" i="2"/>
  <c r="G811" i="2" s="1"/>
  <c r="Z155" i="2"/>
  <c r="Q154" i="2"/>
  <c r="Z154" i="2" s="1"/>
  <c r="BO155" i="2"/>
  <c r="BO154" i="2" s="1"/>
  <c r="BL157" i="2"/>
  <c r="X159" i="2"/>
  <c r="O158" i="2"/>
  <c r="Y168" i="2"/>
  <c r="J171" i="2"/>
  <c r="I171" i="2"/>
  <c r="U174" i="2"/>
  <c r="BQ174" i="2" s="1"/>
  <c r="BS174" i="2" s="1"/>
  <c r="BV174" i="2" s="1"/>
  <c r="AF175" i="2"/>
  <c r="AF157" i="2" s="1"/>
  <c r="AL175" i="2"/>
  <c r="AL157" i="2" s="1"/>
  <c r="AR175" i="2"/>
  <c r="AX175" i="2"/>
  <c r="AX157" i="2" s="1"/>
  <c r="BD175" i="2"/>
  <c r="BJ175" i="2"/>
  <c r="BJ157" i="2" s="1"/>
  <c r="I177" i="2"/>
  <c r="J177" i="2"/>
  <c r="G176" i="2"/>
  <c r="Y181" i="2"/>
  <c r="P180" i="2"/>
  <c r="Y180" i="2" s="1"/>
  <c r="BU183" i="2"/>
  <c r="S186" i="2"/>
  <c r="BN189" i="2"/>
  <c r="BP189" i="2" s="1"/>
  <c r="O187" i="2"/>
  <c r="U189" i="2"/>
  <c r="BQ189" i="2" s="1"/>
  <c r="U191" i="2"/>
  <c r="BQ191" i="2" s="1"/>
  <c r="X194" i="2"/>
  <c r="U194" i="2"/>
  <c r="BP203" i="2"/>
  <c r="AY804" i="2"/>
  <c r="M120" i="3"/>
  <c r="M146" i="3" s="1"/>
  <c r="BK805" i="2"/>
  <c r="J10" i="2"/>
  <c r="U20" i="2"/>
  <c r="BQ20" i="2" s="1"/>
  <c r="BS20" i="2" s="1"/>
  <c r="BV20" i="2" s="1"/>
  <c r="BW20" i="2" s="1"/>
  <c r="S21" i="2"/>
  <c r="Y21" i="2"/>
  <c r="U22" i="2"/>
  <c r="X45" i="2"/>
  <c r="J45" i="2"/>
  <c r="U45" i="2"/>
  <c r="BQ45" i="2" s="1"/>
  <c r="BS45" i="2" s="1"/>
  <c r="BV45" i="2" s="1"/>
  <c r="BW45" i="2" s="1"/>
  <c r="BN48" i="2"/>
  <c r="BP48" i="2" s="1"/>
  <c r="X48" i="2"/>
  <c r="P46" i="2"/>
  <c r="X63" i="2"/>
  <c r="O59" i="2"/>
  <c r="U63" i="2"/>
  <c r="BQ63" i="2" s="1"/>
  <c r="BS63" i="2" s="1"/>
  <c r="BV63" i="2" s="1"/>
  <c r="BU75" i="2"/>
  <c r="J79" i="2"/>
  <c r="I79" i="2"/>
  <c r="BP92" i="2"/>
  <c r="BT92" i="2"/>
  <c r="BT91" i="2" s="1"/>
  <c r="R97" i="2"/>
  <c r="R813" i="2" s="1"/>
  <c r="Z102" i="2"/>
  <c r="BO102" i="2"/>
  <c r="BR108" i="2"/>
  <c r="BO107" i="2"/>
  <c r="Y113" i="2"/>
  <c r="AD112" i="2"/>
  <c r="AP112" i="2"/>
  <c r="AV112" i="2"/>
  <c r="AV16" i="2" s="1"/>
  <c r="BB112" i="2"/>
  <c r="BB16" i="2" s="1"/>
  <c r="BH112" i="2"/>
  <c r="BH16" i="2" s="1"/>
  <c r="H112" i="2"/>
  <c r="H16" i="2" s="1"/>
  <c r="AL112" i="2"/>
  <c r="AL16" i="2" s="1"/>
  <c r="AR112" i="2"/>
  <c r="AR16" i="2" s="1"/>
  <c r="BD112" i="2"/>
  <c r="BD16" i="2" s="1"/>
  <c r="BJ112" i="2"/>
  <c r="BJ16" i="2" s="1"/>
  <c r="X123" i="2"/>
  <c r="O121" i="2"/>
  <c r="X121" i="2" s="1"/>
  <c r="U123" i="2"/>
  <c r="BQ123" i="2" s="1"/>
  <c r="BS123" i="2" s="1"/>
  <c r="BV123" i="2" s="1"/>
  <c r="AC112" i="2"/>
  <c r="AC16" i="2" s="1"/>
  <c r="AI112" i="2"/>
  <c r="AI16" i="2" s="1"/>
  <c r="AO112" i="2"/>
  <c r="AU112" i="2"/>
  <c r="AU16" i="2" s="1"/>
  <c r="BA112" i="2"/>
  <c r="BA16" i="2" s="1"/>
  <c r="BG112" i="2"/>
  <c r="BG16" i="2" s="1"/>
  <c r="BM112" i="2"/>
  <c r="BM16" i="2" s="1"/>
  <c r="V129" i="2"/>
  <c r="S128" i="2"/>
  <c r="J130" i="2"/>
  <c r="G128" i="2"/>
  <c r="I130" i="2"/>
  <c r="BU138" i="2"/>
  <c r="Y140" i="2"/>
  <c r="P139" i="2"/>
  <c r="Y139" i="2" s="1"/>
  <c r="J142" i="2"/>
  <c r="G141" i="2"/>
  <c r="X148" i="2"/>
  <c r="BN148" i="2"/>
  <c r="BP148" i="2" s="1"/>
  <c r="O146" i="2"/>
  <c r="X146" i="2" s="1"/>
  <c r="BP155" i="2"/>
  <c r="M157" i="2"/>
  <c r="G159" i="2"/>
  <c r="I161" i="2"/>
  <c r="Z167" i="2"/>
  <c r="Q166" i="2"/>
  <c r="Z166" i="2" s="1"/>
  <c r="BO167" i="2"/>
  <c r="BO166" i="2" s="1"/>
  <c r="X177" i="2"/>
  <c r="O176" i="2"/>
  <c r="U177" i="2"/>
  <c r="Z184" i="2"/>
  <c r="BU185" i="2"/>
  <c r="BN187" i="2"/>
  <c r="BP188" i="2"/>
  <c r="V187" i="2"/>
  <c r="BT188" i="2"/>
  <c r="BT187" i="2" s="1"/>
  <c r="BT186" i="2" s="1"/>
  <c r="Z193" i="2"/>
  <c r="BO193" i="2"/>
  <c r="BP193" i="2" s="1"/>
  <c r="Y197" i="2"/>
  <c r="P196" i="2"/>
  <c r="Y196" i="2" s="1"/>
  <c r="Z202" i="2"/>
  <c r="BO202" i="2"/>
  <c r="W202" i="2"/>
  <c r="Q201" i="2"/>
  <c r="Z201" i="2" s="1"/>
  <c r="R227" i="2"/>
  <c r="R812" i="2" s="1"/>
  <c r="U30" i="2"/>
  <c r="BQ30" i="2" s="1"/>
  <c r="BS30" i="2" s="1"/>
  <c r="BV30" i="2" s="1"/>
  <c r="BN30" i="2"/>
  <c r="BP30" i="2" s="1"/>
  <c r="J31" i="2"/>
  <c r="W34" i="2"/>
  <c r="BR34" i="2" s="1"/>
  <c r="W36" i="2"/>
  <c r="BR36" i="2" s="1"/>
  <c r="U37" i="2"/>
  <c r="BQ37" i="2" s="1"/>
  <c r="BS37" i="2" s="1"/>
  <c r="BV37" i="2" s="1"/>
  <c r="BN37" i="2"/>
  <c r="BP37" i="2" s="1"/>
  <c r="U39" i="2"/>
  <c r="BQ39" i="2" s="1"/>
  <c r="W42" i="2"/>
  <c r="BR42" i="2" s="1"/>
  <c r="U44" i="2"/>
  <c r="BQ44" i="2" s="1"/>
  <c r="BN44" i="2"/>
  <c r="BP44" i="2" s="1"/>
  <c r="J47" i="2"/>
  <c r="I48" i="2"/>
  <c r="R48" i="2"/>
  <c r="J49" i="2"/>
  <c r="I50" i="2"/>
  <c r="R50" i="2"/>
  <c r="W53" i="2"/>
  <c r="BR53" i="2" s="1"/>
  <c r="BO53" i="2"/>
  <c r="BO46" i="2" s="1"/>
  <c r="U55" i="2"/>
  <c r="BQ55" i="2" s="1"/>
  <c r="S56" i="2"/>
  <c r="V56" i="2" s="1"/>
  <c r="BT56" i="2" s="1"/>
  <c r="BT46" i="2" s="1"/>
  <c r="W60" i="2"/>
  <c r="U62" i="2"/>
  <c r="BQ62" i="2" s="1"/>
  <c r="Z63" i="2"/>
  <c r="X65" i="2"/>
  <c r="Z67" i="2"/>
  <c r="X68" i="2"/>
  <c r="BN69" i="2"/>
  <c r="BP69" i="2" s="1"/>
  <c r="J70" i="2"/>
  <c r="Z70" i="2"/>
  <c r="X72" i="2"/>
  <c r="W73" i="2"/>
  <c r="BR73" i="2" s="1"/>
  <c r="U75" i="2"/>
  <c r="BQ75" i="2" s="1"/>
  <c r="BS75" i="2" s="1"/>
  <c r="BV75" i="2" s="1"/>
  <c r="BW75" i="2" s="1"/>
  <c r="J76" i="2"/>
  <c r="Z76" i="2"/>
  <c r="X77" i="2"/>
  <c r="BN77" i="2"/>
  <c r="BP77" i="2" s="1"/>
  <c r="J78" i="2"/>
  <c r="Z78" i="2"/>
  <c r="W79" i="2"/>
  <c r="BR79" i="2" s="1"/>
  <c r="U81" i="2"/>
  <c r="BQ81" i="2" s="1"/>
  <c r="J82" i="2"/>
  <c r="W83" i="2"/>
  <c r="BR83" i="2" s="1"/>
  <c r="F811" i="2"/>
  <c r="L86" i="2"/>
  <c r="L811" i="2" s="1"/>
  <c r="AD811" i="2"/>
  <c r="AJ811" i="2"/>
  <c r="AJ804" i="2" s="1"/>
  <c r="AP811" i="2"/>
  <c r="AV811" i="2"/>
  <c r="BB811" i="2"/>
  <c r="BH811" i="2"/>
  <c r="J87" i="2"/>
  <c r="Z87" i="2"/>
  <c r="G91" i="2"/>
  <c r="U92" i="2"/>
  <c r="J93" i="2"/>
  <c r="X96" i="2"/>
  <c r="X100" i="2"/>
  <c r="P105" i="2"/>
  <c r="V105" i="2"/>
  <c r="Q107" i="2"/>
  <c r="Y108" i="2"/>
  <c r="X109" i="2"/>
  <c r="W110" i="2"/>
  <c r="BR110" i="2" s="1"/>
  <c r="O113" i="2"/>
  <c r="O115" i="2"/>
  <c r="X115" i="2" s="1"/>
  <c r="O117" i="2"/>
  <c r="X117" i="2" s="1"/>
  <c r="W118" i="2"/>
  <c r="U120" i="2"/>
  <c r="BQ120" i="2" s="1"/>
  <c r="BS120" i="2" s="1"/>
  <c r="BV120" i="2" s="1"/>
  <c r="BW120" i="2" s="1"/>
  <c r="G121" i="2"/>
  <c r="U122" i="2"/>
  <c r="J123" i="2"/>
  <c r="Z123" i="2"/>
  <c r="X125" i="2"/>
  <c r="J126" i="2"/>
  <c r="X127" i="2"/>
  <c r="X129" i="2"/>
  <c r="W130" i="2"/>
  <c r="U132" i="2"/>
  <c r="BQ132" i="2" s="1"/>
  <c r="J133" i="2"/>
  <c r="Z133" i="2"/>
  <c r="X135" i="2"/>
  <c r="W136" i="2"/>
  <c r="BR136" i="2" s="1"/>
  <c r="U138" i="2"/>
  <c r="BQ138" i="2" s="1"/>
  <c r="BS138" i="2" s="1"/>
  <c r="BV138" i="2" s="1"/>
  <c r="BW138" i="2" s="1"/>
  <c r="G139" i="2"/>
  <c r="U140" i="2"/>
  <c r="V143" i="2"/>
  <c r="V145" i="2"/>
  <c r="BN145" i="2"/>
  <c r="G146" i="2"/>
  <c r="U147" i="2"/>
  <c r="J148" i="2"/>
  <c r="Z148" i="2"/>
  <c r="Q149" i="2"/>
  <c r="Z149" i="2" s="1"/>
  <c r="Y150" i="2"/>
  <c r="Q151" i="2"/>
  <c r="Z151" i="2" s="1"/>
  <c r="S152" i="2"/>
  <c r="W153" i="2"/>
  <c r="BR153" i="2" s="1"/>
  <c r="V155" i="2"/>
  <c r="P159" i="2"/>
  <c r="BN160" i="2"/>
  <c r="Q162" i="2"/>
  <c r="Z162" i="2" s="1"/>
  <c r="Y163" i="2"/>
  <c r="W164" i="2"/>
  <c r="BR164" i="2" s="1"/>
  <c r="V167" i="2"/>
  <c r="U168" i="2"/>
  <c r="BQ168" i="2" s="1"/>
  <c r="J169" i="2"/>
  <c r="Z169" i="2"/>
  <c r="X170" i="2"/>
  <c r="W171" i="2"/>
  <c r="BR171" i="2" s="1"/>
  <c r="U173" i="2"/>
  <c r="BQ173" i="2" s="1"/>
  <c r="BS173" i="2" s="1"/>
  <c r="BV173" i="2" s="1"/>
  <c r="BW173" i="2" s="1"/>
  <c r="J174" i="2"/>
  <c r="Z174" i="2"/>
  <c r="L175" i="2"/>
  <c r="L157" i="2" s="1"/>
  <c r="Z177" i="2"/>
  <c r="BN179" i="2"/>
  <c r="BP179" i="2" s="1"/>
  <c r="G180" i="2"/>
  <c r="U181" i="2"/>
  <c r="F5" i="3"/>
  <c r="M806" i="2"/>
  <c r="X183" i="2"/>
  <c r="Z185" i="2"/>
  <c r="G187" i="2"/>
  <c r="U188" i="2"/>
  <c r="J189" i="2"/>
  <c r="J191" i="2"/>
  <c r="Z191" i="2"/>
  <c r="M174" i="3"/>
  <c r="Z194" i="2"/>
  <c r="AR196" i="2"/>
  <c r="AY196" i="2"/>
  <c r="AY157" i="2" s="1"/>
  <c r="K196" i="2"/>
  <c r="K157" i="2" s="1"/>
  <c r="V199" i="2"/>
  <c r="J200" i="2"/>
  <c r="G199" i="2"/>
  <c r="BO200" i="2"/>
  <c r="S207" i="2"/>
  <c r="S206" i="2" s="1"/>
  <c r="U212" i="2"/>
  <c r="BQ212" i="2" s="1"/>
  <c r="BP221" i="2"/>
  <c r="J222" i="2"/>
  <c r="I222" i="2"/>
  <c r="R230" i="2"/>
  <c r="AG227" i="2"/>
  <c r="AG206" i="2" s="1"/>
  <c r="T250" i="2"/>
  <c r="R259" i="2"/>
  <c r="R250" i="2" s="1"/>
  <c r="BU265" i="2"/>
  <c r="BT264" i="2"/>
  <c r="BP286" i="2"/>
  <c r="Z210" i="2"/>
  <c r="BO210" i="2"/>
  <c r="J211" i="2"/>
  <c r="I211" i="2"/>
  <c r="BU214" i="2"/>
  <c r="U219" i="2"/>
  <c r="BQ219" i="2" s="1"/>
  <c r="BS219" i="2" s="1"/>
  <c r="BV219" i="2" s="1"/>
  <c r="U225" i="2"/>
  <c r="BQ225" i="2" s="1"/>
  <c r="BS225" i="2" s="1"/>
  <c r="BV225" i="2" s="1"/>
  <c r="P227" i="2"/>
  <c r="Y227" i="2" s="1"/>
  <c r="J241" i="2"/>
  <c r="G240" i="2"/>
  <c r="I241" i="2"/>
  <c r="U32" i="2"/>
  <c r="BQ32" i="2" s="1"/>
  <c r="BS32" i="2" s="1"/>
  <c r="BV32" i="2" s="1"/>
  <c r="BN32" i="2"/>
  <c r="BP32" i="2" s="1"/>
  <c r="W35" i="2"/>
  <c r="BR35" i="2" s="1"/>
  <c r="W37" i="2"/>
  <c r="BR37" i="2" s="1"/>
  <c r="W39" i="2"/>
  <c r="BR39" i="2" s="1"/>
  <c r="W44" i="2"/>
  <c r="BR44" i="2" s="1"/>
  <c r="H809" i="2"/>
  <c r="AF809" i="2"/>
  <c r="AX809" i="2"/>
  <c r="BD809" i="2"/>
  <c r="BJ809" i="2"/>
  <c r="W55" i="2"/>
  <c r="BR55" i="2" s="1"/>
  <c r="U56" i="2"/>
  <c r="BQ56" i="2" s="1"/>
  <c r="E810" i="2"/>
  <c r="W62" i="2"/>
  <c r="BR62" i="2" s="1"/>
  <c r="BO63" i="2"/>
  <c r="BP63" i="2" s="1"/>
  <c r="U64" i="2"/>
  <c r="BQ64" i="2" s="1"/>
  <c r="BS64" i="2" s="1"/>
  <c r="BV64" i="2" s="1"/>
  <c r="BN64" i="2"/>
  <c r="BP64" i="2" s="1"/>
  <c r="BO67" i="2"/>
  <c r="BO70" i="2"/>
  <c r="BP70" i="2" s="1"/>
  <c r="U71" i="2"/>
  <c r="BQ71" i="2" s="1"/>
  <c r="BS71" i="2" s="1"/>
  <c r="BV71" i="2" s="1"/>
  <c r="BN71" i="2"/>
  <c r="BP71" i="2" s="1"/>
  <c r="J72" i="2"/>
  <c r="W75" i="2"/>
  <c r="BR75" i="2" s="1"/>
  <c r="BO76" i="2"/>
  <c r="W81" i="2"/>
  <c r="BR81" i="2" s="1"/>
  <c r="W85" i="2"/>
  <c r="BR85" i="2" s="1"/>
  <c r="BS85" i="2" s="1"/>
  <c r="BV85" i="2" s="1"/>
  <c r="BO85" i="2"/>
  <c r="BP85" i="2" s="1"/>
  <c r="BO87" i="2"/>
  <c r="BO86" i="2" s="1"/>
  <c r="Y88" i="2"/>
  <c r="U89" i="2"/>
  <c r="BQ89" i="2" s="1"/>
  <c r="BS89" i="2" s="1"/>
  <c r="BV89" i="2" s="1"/>
  <c r="BN89" i="2"/>
  <c r="BP89" i="2" s="1"/>
  <c r="AG812" i="2"/>
  <c r="W92" i="2"/>
  <c r="O93" i="2"/>
  <c r="W94" i="2"/>
  <c r="BR94" i="2" s="1"/>
  <c r="BO94" i="2"/>
  <c r="BO91" i="2" s="1"/>
  <c r="U95" i="2"/>
  <c r="BQ95" i="2" s="1"/>
  <c r="BS95" i="2" s="1"/>
  <c r="BV95" i="2" s="1"/>
  <c r="BN95" i="2"/>
  <c r="BP95" i="2" s="1"/>
  <c r="U99" i="2"/>
  <c r="BQ99" i="2" s="1"/>
  <c r="BS99" i="2" s="1"/>
  <c r="BV99" i="2" s="1"/>
  <c r="BN99" i="2"/>
  <c r="BP99" i="2" s="1"/>
  <c r="W104" i="2"/>
  <c r="R815" i="2"/>
  <c r="M181" i="3" s="1"/>
  <c r="U106" i="2"/>
  <c r="BN106" i="2"/>
  <c r="U108" i="2"/>
  <c r="BN108" i="2"/>
  <c r="BT108" i="2"/>
  <c r="BT107" i="2" s="1"/>
  <c r="W120" i="2"/>
  <c r="BR120" i="2" s="1"/>
  <c r="W122" i="2"/>
  <c r="BO123" i="2"/>
  <c r="BP123" i="2" s="1"/>
  <c r="U124" i="2"/>
  <c r="BQ124" i="2" s="1"/>
  <c r="BS124" i="2" s="1"/>
  <c r="BV124" i="2" s="1"/>
  <c r="BN124" i="2"/>
  <c r="BP124" i="2" s="1"/>
  <c r="W132" i="2"/>
  <c r="BR132" i="2" s="1"/>
  <c r="BO133" i="2"/>
  <c r="BP133" i="2" s="1"/>
  <c r="U134" i="2"/>
  <c r="BQ134" i="2" s="1"/>
  <c r="BS134" i="2" s="1"/>
  <c r="BV134" i="2" s="1"/>
  <c r="BN134" i="2"/>
  <c r="BP134" i="2" s="1"/>
  <c r="W138" i="2"/>
  <c r="BR138" i="2" s="1"/>
  <c r="W140" i="2"/>
  <c r="W147" i="2"/>
  <c r="U150" i="2"/>
  <c r="BN150" i="2"/>
  <c r="U152" i="2"/>
  <c r="U161" i="2"/>
  <c r="BQ161" i="2" s="1"/>
  <c r="BS161" i="2" s="1"/>
  <c r="BV161" i="2" s="1"/>
  <c r="BN161" i="2"/>
  <c r="BP161" i="2" s="1"/>
  <c r="U163" i="2"/>
  <c r="BN163" i="2"/>
  <c r="W168" i="2"/>
  <c r="BR168" i="2" s="1"/>
  <c r="W173" i="2"/>
  <c r="BR173" i="2" s="1"/>
  <c r="U178" i="2"/>
  <c r="BQ178" i="2" s="1"/>
  <c r="BS178" i="2" s="1"/>
  <c r="BV178" i="2" s="1"/>
  <c r="BN178" i="2"/>
  <c r="BP178" i="2" s="1"/>
  <c r="W181" i="2"/>
  <c r="U182" i="2"/>
  <c r="W188" i="2"/>
  <c r="W190" i="2"/>
  <c r="V194" i="2"/>
  <c r="W195" i="2"/>
  <c r="BR195" i="2" s="1"/>
  <c r="T207" i="2"/>
  <c r="T206" i="2" s="1"/>
  <c r="W212" i="2"/>
  <c r="BR212" i="2" s="1"/>
  <c r="Z216" i="2"/>
  <c r="BO216" i="2"/>
  <c r="BP216" i="2" s="1"/>
  <c r="J217" i="2"/>
  <c r="I217" i="2"/>
  <c r="BU217" i="2"/>
  <c r="BU223" i="2"/>
  <c r="BU228" i="2"/>
  <c r="J232" i="2"/>
  <c r="G227" i="2"/>
  <c r="Z233" i="2"/>
  <c r="BO233" i="2"/>
  <c r="BP233" i="2" s="1"/>
  <c r="J236" i="2"/>
  <c r="I236" i="2"/>
  <c r="Z238" i="2"/>
  <c r="BU243" i="2"/>
  <c r="BO32" i="2"/>
  <c r="U33" i="2"/>
  <c r="BQ33" i="2" s="1"/>
  <c r="BS33" i="2" s="1"/>
  <c r="BV33" i="2" s="1"/>
  <c r="BW33" i="2" s="1"/>
  <c r="Z34" i="2"/>
  <c r="I35" i="2"/>
  <c r="Z36" i="2"/>
  <c r="I37" i="2"/>
  <c r="I40" i="2"/>
  <c r="Z42" i="2"/>
  <c r="I43" i="2"/>
  <c r="U48" i="2"/>
  <c r="BQ48" i="2" s="1"/>
  <c r="BS48" i="2" s="1"/>
  <c r="BV48" i="2" s="1"/>
  <c r="U51" i="2"/>
  <c r="BQ51" i="2" s="1"/>
  <c r="BS51" i="2" s="1"/>
  <c r="BV51" i="2" s="1"/>
  <c r="BW51" i="2" s="1"/>
  <c r="BO55" i="2"/>
  <c r="BP55" i="2" s="1"/>
  <c r="I57" i="2"/>
  <c r="W58" i="2"/>
  <c r="BR58" i="2" s="1"/>
  <c r="BS58" i="2" s="1"/>
  <c r="BV58" i="2" s="1"/>
  <c r="F810" i="2"/>
  <c r="AD810" i="2"/>
  <c r="AJ810" i="2"/>
  <c r="AV810" i="2"/>
  <c r="AV804" i="2" s="1"/>
  <c r="BB810" i="2"/>
  <c r="BB804" i="2" s="1"/>
  <c r="BH810" i="2"/>
  <c r="BH804" i="2" s="1"/>
  <c r="U65" i="2"/>
  <c r="BQ65" i="2" s="1"/>
  <c r="U68" i="2"/>
  <c r="BQ68" i="2" s="1"/>
  <c r="U72" i="2"/>
  <c r="BQ72" i="2" s="1"/>
  <c r="BS72" i="2" s="1"/>
  <c r="BV72" i="2" s="1"/>
  <c r="W78" i="2"/>
  <c r="BR78" i="2" s="1"/>
  <c r="BS78" i="2" s="1"/>
  <c r="BV78" i="2" s="1"/>
  <c r="W87" i="2"/>
  <c r="U96" i="2"/>
  <c r="BQ96" i="2" s="1"/>
  <c r="BS96" i="2" s="1"/>
  <c r="BV96" i="2" s="1"/>
  <c r="BW96" i="2" s="1"/>
  <c r="M813" i="2"/>
  <c r="M804" i="2" s="1"/>
  <c r="U100" i="2"/>
  <c r="BQ100" i="2" s="1"/>
  <c r="BS100" i="2" s="1"/>
  <c r="BV100" i="2" s="1"/>
  <c r="S815" i="2"/>
  <c r="L181" i="3" s="1"/>
  <c r="N181" i="3" s="1"/>
  <c r="H816" i="2"/>
  <c r="N816" i="2"/>
  <c r="AF816" i="2"/>
  <c r="AL816" i="2"/>
  <c r="AR816" i="2"/>
  <c r="AX816" i="2"/>
  <c r="BD816" i="2"/>
  <c r="BJ816" i="2"/>
  <c r="U109" i="2"/>
  <c r="BQ109" i="2" s="1"/>
  <c r="BS109" i="2" s="1"/>
  <c r="BV109" i="2" s="1"/>
  <c r="U125" i="2"/>
  <c r="BQ125" i="2" s="1"/>
  <c r="BS125" i="2" s="1"/>
  <c r="BV125" i="2" s="1"/>
  <c r="BW125" i="2" s="1"/>
  <c r="U127" i="2"/>
  <c r="BN127" i="2"/>
  <c r="U129" i="2"/>
  <c r="BN129" i="2"/>
  <c r="U135" i="2"/>
  <c r="BQ135" i="2" s="1"/>
  <c r="BS135" i="2" s="1"/>
  <c r="BV135" i="2" s="1"/>
  <c r="I143" i="2"/>
  <c r="I145" i="2"/>
  <c r="W148" i="2"/>
  <c r="BR148" i="2" s="1"/>
  <c r="BS148" i="2" s="1"/>
  <c r="BV148" i="2" s="1"/>
  <c r="P152" i="2"/>
  <c r="BN152" i="2"/>
  <c r="I155" i="2"/>
  <c r="S159" i="2"/>
  <c r="I165" i="2"/>
  <c r="I167" i="2"/>
  <c r="W169" i="2"/>
  <c r="BR169" i="2" s="1"/>
  <c r="BS169" i="2" s="1"/>
  <c r="BV169" i="2" s="1"/>
  <c r="U170" i="2"/>
  <c r="BQ170" i="2" s="1"/>
  <c r="BS170" i="2" s="1"/>
  <c r="BV170" i="2" s="1"/>
  <c r="BW170" i="2" s="1"/>
  <c r="I172" i="2"/>
  <c r="P176" i="2"/>
  <c r="W177" i="2"/>
  <c r="J182" i="2"/>
  <c r="V182" i="2"/>
  <c r="U183" i="2"/>
  <c r="BQ183" i="2" s="1"/>
  <c r="W189" i="2"/>
  <c r="BR189" i="2" s="1"/>
  <c r="U192" i="2"/>
  <c r="J198" i="2"/>
  <c r="G197" i="2"/>
  <c r="J202" i="2"/>
  <c r="G201" i="2"/>
  <c r="U204" i="2"/>
  <c r="O207" i="2"/>
  <c r="X208" i="2"/>
  <c r="U208" i="2"/>
  <c r="Z222" i="2"/>
  <c r="BO222" i="2"/>
  <c r="BP222" i="2" s="1"/>
  <c r="T227" i="2"/>
  <c r="T812" i="2" s="1"/>
  <c r="X231" i="2"/>
  <c r="BN231" i="2"/>
  <c r="BP231" i="2" s="1"/>
  <c r="I232" i="2"/>
  <c r="BU242" i="2"/>
  <c r="BN244" i="2"/>
  <c r="BR258" i="2"/>
  <c r="BR257" i="2" s="1"/>
  <c r="W257" i="2"/>
  <c r="U34" i="2"/>
  <c r="BQ34" i="2" s="1"/>
  <c r="BS34" i="2" s="1"/>
  <c r="BV34" i="2" s="1"/>
  <c r="BW34" i="2" s="1"/>
  <c r="BO35" i="2"/>
  <c r="U36" i="2"/>
  <c r="BQ36" i="2" s="1"/>
  <c r="U42" i="2"/>
  <c r="BQ42" i="2" s="1"/>
  <c r="BS42" i="2" s="1"/>
  <c r="BV42" i="2" s="1"/>
  <c r="AB809" i="2"/>
  <c r="AH809" i="2"/>
  <c r="AN809" i="2"/>
  <c r="AT809" i="2"/>
  <c r="AZ809" i="2"/>
  <c r="AZ804" i="2" s="1"/>
  <c r="BF809" i="2"/>
  <c r="BL809" i="2"/>
  <c r="BL804" i="2" s="1"/>
  <c r="U53" i="2"/>
  <c r="BQ53" i="2" s="1"/>
  <c r="BS53" i="2" s="1"/>
  <c r="BV53" i="2" s="1"/>
  <c r="W56" i="2"/>
  <c r="BR56" i="2" s="1"/>
  <c r="BN56" i="2"/>
  <c r="BP56" i="2" s="1"/>
  <c r="U60" i="2"/>
  <c r="I62" i="2"/>
  <c r="I67" i="2"/>
  <c r="BO72" i="2"/>
  <c r="BP72" i="2" s="1"/>
  <c r="U73" i="2"/>
  <c r="BQ73" i="2" s="1"/>
  <c r="BS73" i="2" s="1"/>
  <c r="BV73" i="2" s="1"/>
  <c r="I75" i="2"/>
  <c r="U79" i="2"/>
  <c r="BQ79" i="2" s="1"/>
  <c r="I81" i="2"/>
  <c r="W82" i="2"/>
  <c r="BR82" i="2" s="1"/>
  <c r="U83" i="2"/>
  <c r="BQ83" i="2" s="1"/>
  <c r="BS83" i="2" s="1"/>
  <c r="BV83" i="2" s="1"/>
  <c r="BW83" i="2" s="1"/>
  <c r="I85" i="2"/>
  <c r="P86" i="2"/>
  <c r="AB811" i="2"/>
  <c r="U88" i="2"/>
  <c r="BQ88" i="2" s="1"/>
  <c r="BS88" i="2" s="1"/>
  <c r="BV88" i="2" s="1"/>
  <c r="BW88" i="2" s="1"/>
  <c r="Q91" i="2"/>
  <c r="I92" i="2"/>
  <c r="W93" i="2"/>
  <c r="BR93" i="2" s="1"/>
  <c r="J104" i="2"/>
  <c r="BO104" i="2"/>
  <c r="BO103" i="2" s="1"/>
  <c r="O107" i="2"/>
  <c r="AA816" i="2"/>
  <c r="AG816" i="2"/>
  <c r="AM816" i="2"/>
  <c r="AS816" i="2"/>
  <c r="AY816" i="2"/>
  <c r="BE816" i="2"/>
  <c r="BE804" i="2" s="1"/>
  <c r="BK816" i="2"/>
  <c r="U110" i="2"/>
  <c r="BQ110" i="2" s="1"/>
  <c r="BS110" i="2" s="1"/>
  <c r="BV110" i="2" s="1"/>
  <c r="S113" i="2"/>
  <c r="U114" i="2"/>
  <c r="S115" i="2"/>
  <c r="U116" i="2"/>
  <c r="S117" i="2"/>
  <c r="U118" i="2"/>
  <c r="I120" i="2"/>
  <c r="Q121" i="2"/>
  <c r="Z121" i="2" s="1"/>
  <c r="I122" i="2"/>
  <c r="U130" i="2"/>
  <c r="BQ130" i="2" s="1"/>
  <c r="I132" i="2"/>
  <c r="U136" i="2"/>
  <c r="BQ136" i="2" s="1"/>
  <c r="BS136" i="2" s="1"/>
  <c r="BV136" i="2" s="1"/>
  <c r="I138" i="2"/>
  <c r="Q139" i="2"/>
  <c r="Z139" i="2" s="1"/>
  <c r="I140" i="2"/>
  <c r="J143" i="2"/>
  <c r="J145" i="2"/>
  <c r="Q146" i="2"/>
  <c r="Z146" i="2" s="1"/>
  <c r="I147" i="2"/>
  <c r="I149" i="2"/>
  <c r="O149" i="2"/>
  <c r="X149" i="2" s="1"/>
  <c r="O151" i="2"/>
  <c r="X151" i="2" s="1"/>
  <c r="W152" i="2"/>
  <c r="U153" i="2"/>
  <c r="BQ153" i="2" s="1"/>
  <c r="BS153" i="2" s="1"/>
  <c r="BV153" i="2" s="1"/>
  <c r="BW153" i="2" s="1"/>
  <c r="J155" i="2"/>
  <c r="O162" i="2"/>
  <c r="X162" i="2" s="1"/>
  <c r="U164" i="2"/>
  <c r="BQ164" i="2" s="1"/>
  <c r="BS164" i="2" s="1"/>
  <c r="BV164" i="2" s="1"/>
  <c r="J167" i="2"/>
  <c r="I168" i="2"/>
  <c r="U171" i="2"/>
  <c r="BQ171" i="2" s="1"/>
  <c r="BS171" i="2" s="1"/>
  <c r="BV171" i="2" s="1"/>
  <c r="BW171" i="2" s="1"/>
  <c r="I173" i="2"/>
  <c r="E176" i="2"/>
  <c r="E175" i="2" s="1"/>
  <c r="Q180" i="2"/>
  <c r="Z180" i="2" s="1"/>
  <c r="I181" i="2"/>
  <c r="Q187" i="2"/>
  <c r="I188" i="2"/>
  <c r="V192" i="2"/>
  <c r="AA196" i="2"/>
  <c r="AA157" i="2" s="1"/>
  <c r="BD196" i="2"/>
  <c r="BK196" i="2"/>
  <c r="BK157" i="2" s="1"/>
  <c r="I198" i="2"/>
  <c r="I202" i="2"/>
  <c r="I203" i="2"/>
  <c r="J203" i="2"/>
  <c r="V204" i="2"/>
  <c r="G207" i="2"/>
  <c r="Q207" i="2"/>
  <c r="P207" i="2"/>
  <c r="BT208" i="2"/>
  <c r="BT207" i="2" s="1"/>
  <c r="I210" i="2"/>
  <c r="BO212" i="2"/>
  <c r="BP212" i="2" s="1"/>
  <c r="U214" i="2"/>
  <c r="BQ214" i="2" s="1"/>
  <c r="BS214" i="2" s="1"/>
  <c r="BV214" i="2" s="1"/>
  <c r="BW214" i="2" s="1"/>
  <c r="BU218" i="2"/>
  <c r="BN219" i="2"/>
  <c r="BP219" i="2" s="1"/>
  <c r="BU224" i="2"/>
  <c r="BN225" i="2"/>
  <c r="BP225" i="2" s="1"/>
  <c r="V228" i="2"/>
  <c r="BO229" i="2"/>
  <c r="BP229" i="2" s="1"/>
  <c r="BN230" i="2"/>
  <c r="BN227" i="2" s="1"/>
  <c r="X230" i="2"/>
  <c r="BW268" i="2"/>
  <c r="U40" i="2"/>
  <c r="BQ40" i="2" s="1"/>
  <c r="BS40" i="2" s="1"/>
  <c r="BV40" i="2" s="1"/>
  <c r="U43" i="2"/>
  <c r="BQ43" i="2" s="1"/>
  <c r="BS43" i="2" s="1"/>
  <c r="BV43" i="2" s="1"/>
  <c r="E809" i="2"/>
  <c r="W52" i="2"/>
  <c r="BR52" i="2" s="1"/>
  <c r="BS52" i="2" s="1"/>
  <c r="BV52" i="2" s="1"/>
  <c r="BW52" i="2" s="1"/>
  <c r="U57" i="2"/>
  <c r="BQ57" i="2" s="1"/>
  <c r="BS57" i="2" s="1"/>
  <c r="BV57" i="2" s="1"/>
  <c r="H810" i="2"/>
  <c r="N810" i="2"/>
  <c r="AF810" i="2"/>
  <c r="AL810" i="2"/>
  <c r="AR810" i="2"/>
  <c r="AX810" i="2"/>
  <c r="BD810" i="2"/>
  <c r="BJ810" i="2"/>
  <c r="U61" i="2"/>
  <c r="BQ61" i="2" s="1"/>
  <c r="BS61" i="2" s="1"/>
  <c r="BV61" i="2" s="1"/>
  <c r="W65" i="2"/>
  <c r="BR65" i="2" s="1"/>
  <c r="U66" i="2"/>
  <c r="BQ66" i="2" s="1"/>
  <c r="BS66" i="2" s="1"/>
  <c r="BV66" i="2" s="1"/>
  <c r="W68" i="2"/>
  <c r="BR68" i="2" s="1"/>
  <c r="U74" i="2"/>
  <c r="BQ74" i="2" s="1"/>
  <c r="BS74" i="2" s="1"/>
  <c r="BV74" i="2" s="1"/>
  <c r="U80" i="2"/>
  <c r="BQ80" i="2" s="1"/>
  <c r="BS80" i="2" s="1"/>
  <c r="BV80" i="2" s="1"/>
  <c r="U84" i="2"/>
  <c r="BQ84" i="2" s="1"/>
  <c r="BS84" i="2" s="1"/>
  <c r="BV84" i="2" s="1"/>
  <c r="S203" i="3"/>
  <c r="R203" i="3" s="1"/>
  <c r="U203" i="3" s="1"/>
  <c r="E811" i="2"/>
  <c r="AC811" i="2"/>
  <c r="AI811" i="2"/>
  <c r="AO811" i="2"/>
  <c r="AU811" i="2"/>
  <c r="BA811" i="2"/>
  <c r="BG811" i="2"/>
  <c r="BM811" i="2"/>
  <c r="AP91" i="2"/>
  <c r="AP812" i="2" s="1"/>
  <c r="O97" i="2"/>
  <c r="U102" i="2"/>
  <c r="BQ102" i="2" s="1"/>
  <c r="BS102" i="2" s="1"/>
  <c r="BV102" i="2" s="1"/>
  <c r="I105" i="2"/>
  <c r="O105" i="2"/>
  <c r="U111" i="2"/>
  <c r="BQ111" i="2" s="1"/>
  <c r="BS111" i="2" s="1"/>
  <c r="BV111" i="2" s="1"/>
  <c r="S148" i="3"/>
  <c r="U119" i="2"/>
  <c r="BQ119" i="2" s="1"/>
  <c r="BS119" i="2" s="1"/>
  <c r="BV119" i="2" s="1"/>
  <c r="U131" i="2"/>
  <c r="BQ131" i="2" s="1"/>
  <c r="BS131" i="2" s="1"/>
  <c r="BV131" i="2" s="1"/>
  <c r="U137" i="2"/>
  <c r="BQ137" i="2" s="1"/>
  <c r="BS137" i="2" s="1"/>
  <c r="BV137" i="2" s="1"/>
  <c r="U143" i="2"/>
  <c r="U155" i="2"/>
  <c r="U165" i="2"/>
  <c r="BQ165" i="2" s="1"/>
  <c r="BS165" i="2" s="1"/>
  <c r="BV165" i="2" s="1"/>
  <c r="U167" i="2"/>
  <c r="U172" i="2"/>
  <c r="BQ172" i="2" s="1"/>
  <c r="BS172" i="2" s="1"/>
  <c r="BV172" i="2" s="1"/>
  <c r="F806" i="2"/>
  <c r="F804" i="2" s="1"/>
  <c r="L806" i="2"/>
  <c r="X182" i="2"/>
  <c r="K808" i="2"/>
  <c r="W192" i="2"/>
  <c r="U193" i="2"/>
  <c r="BQ193" i="2" s="1"/>
  <c r="BO195" i="2"/>
  <c r="BP195" i="2" s="1"/>
  <c r="AX196" i="2"/>
  <c r="V198" i="2"/>
  <c r="V202" i="2"/>
  <c r="W210" i="2"/>
  <c r="BR210" i="2" s="1"/>
  <c r="BO211" i="2"/>
  <c r="BP211" i="2" s="1"/>
  <c r="U213" i="2"/>
  <c r="BQ213" i="2" s="1"/>
  <c r="BS213" i="2" s="1"/>
  <c r="BV213" i="2" s="1"/>
  <c r="BW213" i="2" s="1"/>
  <c r="I216" i="2"/>
  <c r="U218" i="2"/>
  <c r="BQ218" i="2" s="1"/>
  <c r="BS218" i="2" s="1"/>
  <c r="BV218" i="2" s="1"/>
  <c r="BW218" i="2" s="1"/>
  <c r="BU220" i="2"/>
  <c r="BW220" i="2"/>
  <c r="I221" i="2"/>
  <c r="U224" i="2"/>
  <c r="BQ224" i="2" s="1"/>
  <c r="BS224" i="2" s="1"/>
  <c r="BV224" i="2" s="1"/>
  <c r="BW224" i="2" s="1"/>
  <c r="BU226" i="2"/>
  <c r="Q227" i="2"/>
  <c r="Z227" i="2" s="1"/>
  <c r="Y228" i="2"/>
  <c r="BT240" i="2"/>
  <c r="J246" i="2"/>
  <c r="I246" i="2"/>
  <c r="Z260" i="2"/>
  <c r="Q259" i="2"/>
  <c r="Z259" i="2" s="1"/>
  <c r="BR265" i="2"/>
  <c r="BP297" i="2"/>
  <c r="U198" i="2"/>
  <c r="U200" i="2"/>
  <c r="U202" i="2"/>
  <c r="W205" i="2"/>
  <c r="BR205" i="2" s="1"/>
  <c r="W209" i="2"/>
  <c r="U211" i="2"/>
  <c r="BQ211" i="2" s="1"/>
  <c r="BS211" i="2" s="1"/>
  <c r="BV211" i="2" s="1"/>
  <c r="J212" i="2"/>
  <c r="W215" i="2"/>
  <c r="BR215" i="2" s="1"/>
  <c r="U217" i="2"/>
  <c r="BQ217" i="2" s="1"/>
  <c r="BS217" i="2" s="1"/>
  <c r="BV217" i="2" s="1"/>
  <c r="BW217" i="2" s="1"/>
  <c r="J218" i="2"/>
  <c r="Z218" i="2"/>
  <c r="X220" i="2"/>
  <c r="W221" i="2"/>
  <c r="BR221" i="2" s="1"/>
  <c r="U223" i="2"/>
  <c r="BQ223" i="2" s="1"/>
  <c r="BS223" i="2" s="1"/>
  <c r="BV223" i="2" s="1"/>
  <c r="BW223" i="2" s="1"/>
  <c r="J224" i="2"/>
  <c r="Z224" i="2"/>
  <c r="X226" i="2"/>
  <c r="W228" i="2"/>
  <c r="U229" i="2"/>
  <c r="BQ229" i="2" s="1"/>
  <c r="BS229" i="2" s="1"/>
  <c r="BV229" i="2" s="1"/>
  <c r="J230" i="2"/>
  <c r="BO230" i="2"/>
  <c r="Z231" i="2"/>
  <c r="W232" i="2"/>
  <c r="BR232" i="2" s="1"/>
  <c r="U233" i="2"/>
  <c r="BQ233" i="2" s="1"/>
  <c r="BS233" i="2" s="1"/>
  <c r="BV233" i="2" s="1"/>
  <c r="J234" i="2"/>
  <c r="BO234" i="2"/>
  <c r="BP234" i="2" s="1"/>
  <c r="U235" i="2"/>
  <c r="BQ235" i="2" s="1"/>
  <c r="BS235" i="2" s="1"/>
  <c r="BV235" i="2" s="1"/>
  <c r="J239" i="2"/>
  <c r="Z239" i="2"/>
  <c r="Y241" i="2"/>
  <c r="X242" i="2"/>
  <c r="W243" i="2"/>
  <c r="BR243" i="2" s="1"/>
  <c r="V245" i="2"/>
  <c r="BO245" i="2"/>
  <c r="BO244" i="2" s="1"/>
  <c r="BO237" i="2" s="1"/>
  <c r="V247" i="2"/>
  <c r="BO247" i="2"/>
  <c r="BO246" i="2" s="1"/>
  <c r="U248" i="2"/>
  <c r="BQ248" i="2" s="1"/>
  <c r="J249" i="2"/>
  <c r="Z249" i="2"/>
  <c r="G251" i="2"/>
  <c r="U252" i="2"/>
  <c r="BT252" i="2"/>
  <c r="BT251" i="2" s="1"/>
  <c r="J253" i="2"/>
  <c r="Z253" i="2"/>
  <c r="J255" i="2"/>
  <c r="Z255" i="2"/>
  <c r="Q257" i="2"/>
  <c r="Z257" i="2" s="1"/>
  <c r="Y258" i="2"/>
  <c r="J261" i="2"/>
  <c r="Z261" i="2"/>
  <c r="J263" i="2"/>
  <c r="Z263" i="2"/>
  <c r="J265" i="2"/>
  <c r="Y265" i="2"/>
  <c r="BN266" i="2"/>
  <c r="BP266" i="2" s="1"/>
  <c r="BP264" i="2" s="1"/>
  <c r="U267" i="2"/>
  <c r="BQ267" i="2" s="1"/>
  <c r="BO267" i="2"/>
  <c r="BO264" i="2" s="1"/>
  <c r="BO259" i="2" s="1"/>
  <c r="X268" i="2"/>
  <c r="BN269" i="2"/>
  <c r="BP269" i="2" s="1"/>
  <c r="S274" i="2"/>
  <c r="O275" i="2"/>
  <c r="X281" i="2"/>
  <c r="BN281" i="2"/>
  <c r="U281" i="2"/>
  <c r="BQ281" i="2" s="1"/>
  <c r="BS281" i="2" s="1"/>
  <c r="BV281" i="2" s="1"/>
  <c r="O282" i="2"/>
  <c r="X282" i="2" s="1"/>
  <c r="BT283" i="2"/>
  <c r="J285" i="2"/>
  <c r="I285" i="2"/>
  <c r="G282" i="2"/>
  <c r="BN288" i="2"/>
  <c r="BP288" i="2" s="1"/>
  <c r="BT293" i="2"/>
  <c r="BT292" i="2" s="1"/>
  <c r="V292" i="2"/>
  <c r="BU301" i="2"/>
  <c r="BN304" i="2"/>
  <c r="BP305" i="2"/>
  <c r="BR307" i="2"/>
  <c r="BR306" i="2" s="1"/>
  <c r="W306" i="2"/>
  <c r="Y312" i="2"/>
  <c r="BU323" i="2"/>
  <c r="BU322" i="2" s="1"/>
  <c r="BP322" i="2"/>
  <c r="L328" i="2"/>
  <c r="L272" i="2" s="1"/>
  <c r="H328" i="2"/>
  <c r="U340" i="2"/>
  <c r="BQ341" i="2"/>
  <c r="BU427" i="2"/>
  <c r="BO235" i="2"/>
  <c r="BP235" i="2" s="1"/>
  <c r="U239" i="2"/>
  <c r="BN239" i="2"/>
  <c r="BT239" i="2"/>
  <c r="BT238" i="2" s="1"/>
  <c r="W245" i="2"/>
  <c r="W247" i="2"/>
  <c r="BO248" i="2"/>
  <c r="BP248" i="2" s="1"/>
  <c r="U249" i="2"/>
  <c r="BQ249" i="2" s="1"/>
  <c r="BS249" i="2" s="1"/>
  <c r="BV249" i="2" s="1"/>
  <c r="BN249" i="2"/>
  <c r="BP249" i="2" s="1"/>
  <c r="BO252" i="2"/>
  <c r="BO251" i="2" s="1"/>
  <c r="U253" i="2"/>
  <c r="BQ253" i="2" s="1"/>
  <c r="BS253" i="2" s="1"/>
  <c r="BV253" i="2" s="1"/>
  <c r="BN253" i="2"/>
  <c r="BP253" i="2" s="1"/>
  <c r="U255" i="2"/>
  <c r="BN255" i="2"/>
  <c r="BT255" i="2"/>
  <c r="BT254" i="2" s="1"/>
  <c r="U261" i="2"/>
  <c r="BN261" i="2"/>
  <c r="BT261" i="2"/>
  <c r="BT260" i="2" s="1"/>
  <c r="U263" i="2"/>
  <c r="BN263" i="2"/>
  <c r="BT263" i="2"/>
  <c r="BT262" i="2" s="1"/>
  <c r="U266" i="2"/>
  <c r="BQ266" i="2" s="1"/>
  <c r="BS266" i="2" s="1"/>
  <c r="BV266" i="2" s="1"/>
  <c r="U269" i="2"/>
  <c r="BQ269" i="2" s="1"/>
  <c r="BS269" i="2" s="1"/>
  <c r="BV269" i="2" s="1"/>
  <c r="BU278" i="2"/>
  <c r="U285" i="2"/>
  <c r="BQ285" i="2" s="1"/>
  <c r="BP300" i="2"/>
  <c r="J306" i="2"/>
  <c r="I306" i="2"/>
  <c r="BR313" i="2"/>
  <c r="J316" i="2"/>
  <c r="G315" i="2"/>
  <c r="G806" i="2" s="1"/>
  <c r="I316" i="2"/>
  <c r="BN360" i="2"/>
  <c r="BR370" i="2"/>
  <c r="BR395" i="2"/>
  <c r="BN401" i="2"/>
  <c r="U234" i="2"/>
  <c r="BQ234" i="2" s="1"/>
  <c r="BS234" i="2" s="1"/>
  <c r="BV234" i="2" s="1"/>
  <c r="W235" i="2"/>
  <c r="BR235" i="2" s="1"/>
  <c r="U236" i="2"/>
  <c r="BQ236" i="2" s="1"/>
  <c r="BS236" i="2" s="1"/>
  <c r="BV236" i="2" s="1"/>
  <c r="BN236" i="2"/>
  <c r="BP236" i="2" s="1"/>
  <c r="U241" i="2"/>
  <c r="BN241" i="2"/>
  <c r="W248" i="2"/>
  <c r="BR248" i="2" s="1"/>
  <c r="W252" i="2"/>
  <c r="U256" i="2"/>
  <c r="BQ256" i="2" s="1"/>
  <c r="BS256" i="2" s="1"/>
  <c r="BV256" i="2" s="1"/>
  <c r="BN256" i="2"/>
  <c r="BP256" i="2" s="1"/>
  <c r="U258" i="2"/>
  <c r="BN258" i="2"/>
  <c r="U265" i="2"/>
  <c r="W267" i="2"/>
  <c r="BR267" i="2" s="1"/>
  <c r="BR280" i="2"/>
  <c r="BR279" i="2" s="1"/>
  <c r="W279" i="2"/>
  <c r="BR283" i="2"/>
  <c r="BN290" i="2"/>
  <c r="G295" i="2"/>
  <c r="J296" i="2"/>
  <c r="I296" i="2"/>
  <c r="BU303" i="2"/>
  <c r="BR305" i="2"/>
  <c r="BR304" i="2" s="1"/>
  <c r="W304" i="2"/>
  <c r="BT307" i="2"/>
  <c r="BT306" i="2" s="1"/>
  <c r="V306" i="2"/>
  <c r="I312" i="2"/>
  <c r="BO311" i="2"/>
  <c r="BN315" i="2"/>
  <c r="BP316" i="2"/>
  <c r="BN320" i="2"/>
  <c r="BN319" i="2" s="1"/>
  <c r="BQ323" i="2"/>
  <c r="U322" i="2"/>
  <c r="BU334" i="2"/>
  <c r="BU333" i="2" s="1"/>
  <c r="BP333" i="2"/>
  <c r="V381" i="2"/>
  <c r="BT382" i="2"/>
  <c r="BT381" i="2" s="1"/>
  <c r="BT378" i="2" s="1"/>
  <c r="BU431" i="2"/>
  <c r="U220" i="2"/>
  <c r="BQ220" i="2" s="1"/>
  <c r="BS220" i="2" s="1"/>
  <c r="BV220" i="2" s="1"/>
  <c r="U226" i="2"/>
  <c r="BQ226" i="2" s="1"/>
  <c r="BS226" i="2" s="1"/>
  <c r="BV226" i="2" s="1"/>
  <c r="BW226" i="2" s="1"/>
  <c r="W231" i="2"/>
  <c r="BR231" i="2" s="1"/>
  <c r="BS231" i="2" s="1"/>
  <c r="BV231" i="2" s="1"/>
  <c r="I238" i="2"/>
  <c r="O238" i="2"/>
  <c r="W239" i="2"/>
  <c r="O240" i="2"/>
  <c r="X240" i="2" s="1"/>
  <c r="U242" i="2"/>
  <c r="BQ242" i="2" s="1"/>
  <c r="BS242" i="2" s="1"/>
  <c r="BV242" i="2" s="1"/>
  <c r="BW242" i="2" s="1"/>
  <c r="I245" i="2"/>
  <c r="Q246" i="2"/>
  <c r="Z246" i="2" s="1"/>
  <c r="I247" i="2"/>
  <c r="P251" i="2"/>
  <c r="I254" i="2"/>
  <c r="O254" i="2"/>
  <c r="X254" i="2" s="1"/>
  <c r="W255" i="2"/>
  <c r="I260" i="2"/>
  <c r="O260" i="2"/>
  <c r="W261" i="2"/>
  <c r="I262" i="2"/>
  <c r="O262" i="2"/>
  <c r="X262" i="2" s="1"/>
  <c r="W263" i="2"/>
  <c r="I264" i="2"/>
  <c r="O264" i="2"/>
  <c r="X264" i="2" s="1"/>
  <c r="W266" i="2"/>
  <c r="BR266" i="2" s="1"/>
  <c r="BU268" i="2"/>
  <c r="U276" i="2"/>
  <c r="BQ276" i="2" s="1"/>
  <c r="BS276" i="2" s="1"/>
  <c r="BV276" i="2" s="1"/>
  <c r="Q279" i="2"/>
  <c r="Z279" i="2" s="1"/>
  <c r="BO280" i="2"/>
  <c r="BO279" i="2" s="1"/>
  <c r="V281" i="2"/>
  <c r="U288" i="2"/>
  <c r="BQ288" i="2" s="1"/>
  <c r="BS288" i="2" s="1"/>
  <c r="BV288" i="2" s="1"/>
  <c r="BR291" i="2"/>
  <c r="BR290" i="2" s="1"/>
  <c r="W290" i="2"/>
  <c r="BN292" i="2"/>
  <c r="J304" i="2"/>
  <c r="I304" i="2"/>
  <c r="BT313" i="2"/>
  <c r="BT312" i="2" s="1"/>
  <c r="V312" i="2"/>
  <c r="V311" i="2" s="1"/>
  <c r="BR318" i="2"/>
  <c r="BR317" i="2" s="1"/>
  <c r="W317" i="2"/>
  <c r="BQ331" i="2"/>
  <c r="U205" i="2"/>
  <c r="BQ205" i="2" s="1"/>
  <c r="U209" i="2"/>
  <c r="BQ209" i="2" s="1"/>
  <c r="U215" i="2"/>
  <c r="BQ215" i="2" s="1"/>
  <c r="BS215" i="2" s="1"/>
  <c r="BV215" i="2" s="1"/>
  <c r="BW215" i="2" s="1"/>
  <c r="U221" i="2"/>
  <c r="BQ221" i="2" s="1"/>
  <c r="BS221" i="2" s="1"/>
  <c r="BV221" i="2" s="1"/>
  <c r="I223" i="2"/>
  <c r="U228" i="2"/>
  <c r="I229" i="2"/>
  <c r="I231" i="2"/>
  <c r="U232" i="2"/>
  <c r="BQ232" i="2" s="1"/>
  <c r="BS232" i="2" s="1"/>
  <c r="BV232" i="2" s="1"/>
  <c r="BW232" i="2" s="1"/>
  <c r="I233" i="2"/>
  <c r="I235" i="2"/>
  <c r="P238" i="2"/>
  <c r="W241" i="2"/>
  <c r="U243" i="2"/>
  <c r="BQ243" i="2" s="1"/>
  <c r="BS243" i="2" s="1"/>
  <c r="BV243" i="2" s="1"/>
  <c r="BW243" i="2" s="1"/>
  <c r="G244" i="2"/>
  <c r="J247" i="2"/>
  <c r="I248" i="2"/>
  <c r="Q251" i="2"/>
  <c r="I252" i="2"/>
  <c r="P254" i="2"/>
  <c r="Y254" i="2" s="1"/>
  <c r="I257" i="2"/>
  <c r="O257" i="2"/>
  <c r="X257" i="2" s="1"/>
  <c r="I259" i="2"/>
  <c r="P260" i="2"/>
  <c r="P262" i="2"/>
  <c r="Y262" i="2" s="1"/>
  <c r="V264" i="2"/>
  <c r="V259" i="2" s="1"/>
  <c r="V250" i="2" s="1"/>
  <c r="P273" i="2"/>
  <c r="AM273" i="2"/>
  <c r="AM272" i="2" s="1"/>
  <c r="V274" i="2"/>
  <c r="Z280" i="2"/>
  <c r="BO283" i="2"/>
  <c r="Q282" i="2"/>
  <c r="Z282" i="2" s="1"/>
  <c r="Z283" i="2"/>
  <c r="BR293" i="2"/>
  <c r="V295" i="2"/>
  <c r="U302" i="2"/>
  <c r="BQ302" i="2" s="1"/>
  <c r="BN302" i="2"/>
  <c r="BP302" i="2" s="1"/>
  <c r="BT305" i="2"/>
  <c r="BT304" i="2" s="1"/>
  <c r="V304" i="2"/>
  <c r="BN306" i="2"/>
  <c r="BP307" i="2"/>
  <c r="J308" i="2"/>
  <c r="I308" i="2"/>
  <c r="BS308" i="2"/>
  <c r="BV309" i="2"/>
  <c r="BV308" i="2" s="1"/>
  <c r="T311" i="2"/>
  <c r="T272" i="2" s="1"/>
  <c r="BU314" i="2"/>
  <c r="BQ325" i="2"/>
  <c r="BU332" i="2"/>
  <c r="N328" i="2"/>
  <c r="BN340" i="2"/>
  <c r="U210" i="2"/>
  <c r="BQ210" i="2" s="1"/>
  <c r="BS210" i="2" s="1"/>
  <c r="BV210" i="2" s="1"/>
  <c r="U216" i="2"/>
  <c r="BQ216" i="2" s="1"/>
  <c r="BS216" i="2" s="1"/>
  <c r="BV216" i="2" s="1"/>
  <c r="U222" i="2"/>
  <c r="BQ222" i="2" s="1"/>
  <c r="BS222" i="2" s="1"/>
  <c r="BV222" i="2" s="1"/>
  <c r="O227" i="2"/>
  <c r="X227" i="2" s="1"/>
  <c r="X234" i="2"/>
  <c r="E240" i="2"/>
  <c r="E237" i="2" s="1"/>
  <c r="U245" i="2"/>
  <c r="U247" i="2"/>
  <c r="X265" i="2"/>
  <c r="I266" i="2"/>
  <c r="BN267" i="2"/>
  <c r="BP267" i="2" s="1"/>
  <c r="AR272" i="2"/>
  <c r="BJ272" i="2"/>
  <c r="I274" i="2"/>
  <c r="BO276" i="2"/>
  <c r="BO274" i="2" s="1"/>
  <c r="Q274" i="2"/>
  <c r="Y277" i="2"/>
  <c r="R281" i="2"/>
  <c r="R279" i="2" s="1"/>
  <c r="R273" i="2" s="1"/>
  <c r="BP284" i="2"/>
  <c r="V284" i="2"/>
  <c r="BT284" i="2" s="1"/>
  <c r="Z286" i="2"/>
  <c r="BO286" i="2"/>
  <c r="BT291" i="2"/>
  <c r="BT290" i="2" s="1"/>
  <c r="V290" i="2"/>
  <c r="Z297" i="2"/>
  <c r="Q295" i="2"/>
  <c r="Z295" i="2" s="1"/>
  <c r="BO297" i="2"/>
  <c r="BN312" i="2"/>
  <c r="BP313" i="2"/>
  <c r="BP326" i="2"/>
  <c r="P329" i="2"/>
  <c r="Y330" i="2"/>
  <c r="BU336" i="2"/>
  <c r="BU335" i="2" s="1"/>
  <c r="BP335" i="2"/>
  <c r="S349" i="2"/>
  <c r="W370" i="2"/>
  <c r="J378" i="2"/>
  <c r="I378" i="2"/>
  <c r="W277" i="2"/>
  <c r="BR277" i="2" s="1"/>
  <c r="BS277" i="2" s="1"/>
  <c r="BV277" i="2" s="1"/>
  <c r="BW277" i="2" s="1"/>
  <c r="U278" i="2"/>
  <c r="BQ278" i="2" s="1"/>
  <c r="BS278" i="2" s="1"/>
  <c r="BV278" i="2" s="1"/>
  <c r="BW278" i="2" s="1"/>
  <c r="G279" i="2"/>
  <c r="G814" i="2" s="1"/>
  <c r="U280" i="2"/>
  <c r="Z281" i="2"/>
  <c r="X283" i="2"/>
  <c r="BO285" i="2"/>
  <c r="BP285" i="2" s="1"/>
  <c r="U286" i="2"/>
  <c r="BQ286" i="2" s="1"/>
  <c r="BS286" i="2" s="1"/>
  <c r="BV286" i="2" s="1"/>
  <c r="Z287" i="2"/>
  <c r="I288" i="2"/>
  <c r="X289" i="2"/>
  <c r="X291" i="2"/>
  <c r="X293" i="2"/>
  <c r="BO294" i="2"/>
  <c r="BP294" i="2" s="1"/>
  <c r="BO296" i="2"/>
  <c r="BO295" i="2" s="1"/>
  <c r="U297" i="2"/>
  <c r="BQ297" i="2" s="1"/>
  <c r="BS297" i="2" s="1"/>
  <c r="BV297" i="2" s="1"/>
  <c r="J298" i="2"/>
  <c r="Z298" i="2"/>
  <c r="I299" i="2"/>
  <c r="X300" i="2"/>
  <c r="BQ308" i="2"/>
  <c r="BP309" i="2"/>
  <c r="O312" i="2"/>
  <c r="J312" i="2" s="1"/>
  <c r="U316" i="2"/>
  <c r="Z318" i="2"/>
  <c r="G320" i="2"/>
  <c r="Y320" i="2"/>
  <c r="U321" i="2"/>
  <c r="S322" i="2"/>
  <c r="S319" i="2" s="1"/>
  <c r="BR323" i="2"/>
  <c r="BR322" i="2" s="1"/>
  <c r="I327" i="2"/>
  <c r="S329" i="2"/>
  <c r="S328" i="2" s="1"/>
  <c r="BR331" i="2"/>
  <c r="BR330" i="2" s="1"/>
  <c r="W330" i="2"/>
  <c r="BT334" i="2"/>
  <c r="BT333" i="2" s="1"/>
  <c r="V333" i="2"/>
  <c r="W335" i="2"/>
  <c r="Y340" i="2"/>
  <c r="J341" i="2"/>
  <c r="I343" i="2"/>
  <c r="BN346" i="2"/>
  <c r="J348" i="2"/>
  <c r="I348" i="2"/>
  <c r="Q349" i="2"/>
  <c r="Z349" i="2" s="1"/>
  <c r="X361" i="2"/>
  <c r="O360" i="2"/>
  <c r="U361" i="2"/>
  <c r="BR369" i="2"/>
  <c r="BR368" i="2" s="1"/>
  <c r="R370" i="2"/>
  <c r="R359" i="2" s="1"/>
  <c r="BO373" i="2"/>
  <c r="BP373" i="2" s="1"/>
  <c r="BP375" i="2"/>
  <c r="U377" i="2"/>
  <c r="BQ377" i="2" s="1"/>
  <c r="BS377" i="2" s="1"/>
  <c r="BV377" i="2" s="1"/>
  <c r="BN379" i="2"/>
  <c r="BP380" i="2"/>
  <c r="J381" i="2"/>
  <c r="I381" i="2"/>
  <c r="BQ382" i="2"/>
  <c r="K385" i="2"/>
  <c r="K384" i="2" s="1"/>
  <c r="BP387" i="2"/>
  <c r="U388" i="2"/>
  <c r="BQ388" i="2" s="1"/>
  <c r="Q391" i="2"/>
  <c r="Z391" i="2" s="1"/>
  <c r="BT394" i="2"/>
  <c r="C7" i="3"/>
  <c r="I6" i="3"/>
  <c r="F798" i="2"/>
  <c r="H798" i="2" s="1"/>
  <c r="BS409" i="2"/>
  <c r="BV409" i="2" s="1"/>
  <c r="BO409" i="2"/>
  <c r="Z409" i="2"/>
  <c r="W412" i="2"/>
  <c r="BR412" i="2" s="1"/>
  <c r="N407" i="2"/>
  <c r="N406" i="2" s="1"/>
  <c r="O791" i="2" s="1"/>
  <c r="AE420" i="2"/>
  <c r="AE384" i="2" s="1"/>
  <c r="AK420" i="2"/>
  <c r="AK384" i="2" s="1"/>
  <c r="AQ420" i="2"/>
  <c r="AQ384" i="2" s="1"/>
  <c r="AW420" i="2"/>
  <c r="AW384" i="2" s="1"/>
  <c r="BC420" i="2"/>
  <c r="BI420" i="2"/>
  <c r="BI384" i="2" s="1"/>
  <c r="R423" i="2"/>
  <c r="BO440" i="2"/>
  <c r="W440" i="2"/>
  <c r="BR440" i="2" s="1"/>
  <c r="Z440" i="2"/>
  <c r="BP440" i="2"/>
  <c r="BS448" i="2"/>
  <c r="BV448" i="2" s="1"/>
  <c r="J450" i="2"/>
  <c r="I450" i="2"/>
  <c r="BS482" i="2"/>
  <c r="BU518" i="2"/>
  <c r="BT518" i="2"/>
  <c r="V516" i="2"/>
  <c r="V515" i="2" s="1"/>
  <c r="BU669" i="2"/>
  <c r="W275" i="2"/>
  <c r="W285" i="2"/>
  <c r="BR285" i="2" s="1"/>
  <c r="U287" i="2"/>
  <c r="BQ287" i="2" s="1"/>
  <c r="BS287" i="2" s="1"/>
  <c r="BV287" i="2" s="1"/>
  <c r="BN287" i="2"/>
  <c r="BP287" i="2" s="1"/>
  <c r="Q290" i="2"/>
  <c r="Z290" i="2" s="1"/>
  <c r="Q292" i="2"/>
  <c r="Z292" i="2" s="1"/>
  <c r="W294" i="2"/>
  <c r="BR294" i="2" s="1"/>
  <c r="O295" i="2"/>
  <c r="X295" i="2" s="1"/>
  <c r="AM295" i="2"/>
  <c r="AM810" i="2" s="1"/>
  <c r="W296" i="2"/>
  <c r="U298" i="2"/>
  <c r="BQ298" i="2" s="1"/>
  <c r="BS298" i="2" s="1"/>
  <c r="BV298" i="2" s="1"/>
  <c r="BN298" i="2"/>
  <c r="BP298" i="2" s="1"/>
  <c r="W302" i="2"/>
  <c r="BR302" i="2" s="1"/>
  <c r="BR308" i="2"/>
  <c r="BP310" i="2"/>
  <c r="W314" i="2"/>
  <c r="BR314" i="2" s="1"/>
  <c r="U318" i="2"/>
  <c r="BN318" i="2"/>
  <c r="BT318" i="2"/>
  <c r="BT317" i="2" s="1"/>
  <c r="BO321" i="2"/>
  <c r="BO320" i="2" s="1"/>
  <c r="BO319" i="2" s="1"/>
  <c r="G324" i="2"/>
  <c r="Z325" i="2"/>
  <c r="W326" i="2"/>
  <c r="BR326" i="2" s="1"/>
  <c r="G330" i="2"/>
  <c r="BO331" i="2"/>
  <c r="BO330" i="2" s="1"/>
  <c r="BO329" i="2" s="1"/>
  <c r="BO328" i="2" s="1"/>
  <c r="Q330" i="2"/>
  <c r="X331" i="2"/>
  <c r="W334" i="2"/>
  <c r="J335" i="2"/>
  <c r="Y336" i="2"/>
  <c r="BP341" i="2"/>
  <c r="X342" i="2"/>
  <c r="P343" i="2"/>
  <c r="Y343" i="2" s="1"/>
  <c r="X344" i="2"/>
  <c r="V347" i="2"/>
  <c r="U348" i="2"/>
  <c r="K350" i="2"/>
  <c r="K349" i="2" s="1"/>
  <c r="K328" i="2" s="1"/>
  <c r="K272" i="2" s="1"/>
  <c r="K271" i="2" s="1"/>
  <c r="F36" i="3" s="1"/>
  <c r="AC349" i="2"/>
  <c r="AC328" i="2" s="1"/>
  <c r="AC272" i="2" s="1"/>
  <c r="AC271" i="2" s="1"/>
  <c r="AI349" i="2"/>
  <c r="AI328" i="2" s="1"/>
  <c r="AI272" i="2" s="1"/>
  <c r="AI271" i="2" s="1"/>
  <c r="AO349" i="2"/>
  <c r="AO328" i="2" s="1"/>
  <c r="AO272" i="2" s="1"/>
  <c r="AU349" i="2"/>
  <c r="AU328" i="2" s="1"/>
  <c r="AU272" i="2" s="1"/>
  <c r="AU271" i="2" s="1"/>
  <c r="BA349" i="2"/>
  <c r="BA328" i="2" s="1"/>
  <c r="BA272" i="2" s="1"/>
  <c r="BA271" i="2" s="1"/>
  <c r="BG349" i="2"/>
  <c r="BG328" i="2" s="1"/>
  <c r="BG272" i="2" s="1"/>
  <c r="BG271" i="2" s="1"/>
  <c r="BM349" i="2"/>
  <c r="BM328" i="2" s="1"/>
  <c r="BM272" i="2" s="1"/>
  <c r="BM271" i="2" s="1"/>
  <c r="R349" i="2"/>
  <c r="R328" i="2" s="1"/>
  <c r="BP351" i="2"/>
  <c r="I352" i="2"/>
  <c r="V354" i="2"/>
  <c r="AE359" i="2"/>
  <c r="AQ359" i="2"/>
  <c r="AW359" i="2"/>
  <c r="BC359" i="2"/>
  <c r="BI359" i="2"/>
  <c r="G366" i="2"/>
  <c r="J367" i="2"/>
  <c r="V367" i="2"/>
  <c r="S366" i="2"/>
  <c r="G370" i="2"/>
  <c r="J371" i="2"/>
  <c r="V371" i="2"/>
  <c r="S370" i="2"/>
  <c r="BO372" i="2"/>
  <c r="Z372" i="2"/>
  <c r="I374" i="2"/>
  <c r="S381" i="2"/>
  <c r="S378" i="2" s="1"/>
  <c r="X382" i="2"/>
  <c r="O381" i="2"/>
  <c r="X381" i="2" s="1"/>
  <c r="AF384" i="2"/>
  <c r="AF271" i="2" s="1"/>
  <c r="BD384" i="2"/>
  <c r="BD271" i="2" s="1"/>
  <c r="BJ384" i="2"/>
  <c r="R386" i="2"/>
  <c r="R385" i="2" s="1"/>
  <c r="W393" i="2"/>
  <c r="BR399" i="2"/>
  <c r="BR398" i="2" s="1"/>
  <c r="W398" i="2"/>
  <c r="J401" i="2"/>
  <c r="I401" i="2"/>
  <c r="G400" i="2"/>
  <c r="Q400" i="2"/>
  <c r="Z400" i="2" s="1"/>
  <c r="Z401" i="2"/>
  <c r="Y400" i="2"/>
  <c r="W408" i="2"/>
  <c r="BP411" i="2"/>
  <c r="Z412" i="2"/>
  <c r="U414" i="2"/>
  <c r="BQ414" i="2" s="1"/>
  <c r="AL420" i="2"/>
  <c r="AL384" i="2" s="1"/>
  <c r="AL271" i="2" s="1"/>
  <c r="AX420" i="2"/>
  <c r="AX384" i="2" s="1"/>
  <c r="AX271" i="2" s="1"/>
  <c r="BD420" i="2"/>
  <c r="BJ420" i="2"/>
  <c r="O421" i="2"/>
  <c r="O806" i="2" s="1"/>
  <c r="X422" i="2"/>
  <c r="U422" i="2"/>
  <c r="J423" i="2"/>
  <c r="I423" i="2"/>
  <c r="Y428" i="2"/>
  <c r="BW434" i="2"/>
  <c r="BU449" i="2"/>
  <c r="BW466" i="2"/>
  <c r="BU466" i="2"/>
  <c r="Q478" i="2"/>
  <c r="W478" i="2" s="1"/>
  <c r="AR477" i="2"/>
  <c r="AR420" i="2" s="1"/>
  <c r="AR384" i="2" s="1"/>
  <c r="T478" i="2"/>
  <c r="T477" i="2" s="1"/>
  <c r="T811" i="2" s="1"/>
  <c r="M177" i="3" s="1"/>
  <c r="BR483" i="2"/>
  <c r="BS483" i="2" s="1"/>
  <c r="BV483" i="2" s="1"/>
  <c r="W481" i="2"/>
  <c r="BQ487" i="2"/>
  <c r="BS498" i="2"/>
  <c r="BV498" i="2" s="1"/>
  <c r="BP527" i="2"/>
  <c r="BN526" i="2"/>
  <c r="U299" i="2"/>
  <c r="BQ299" i="2" s="1"/>
  <c r="BS299" i="2" s="1"/>
  <c r="BV299" i="2" s="1"/>
  <c r="BN299" i="2"/>
  <c r="BP299" i="2" s="1"/>
  <c r="W316" i="2"/>
  <c r="BO316" i="2"/>
  <c r="BO315" i="2" s="1"/>
  <c r="W321" i="2"/>
  <c r="BT323" i="2"/>
  <c r="BT322" i="2" s="1"/>
  <c r="BT319" i="2" s="1"/>
  <c r="AA328" i="2"/>
  <c r="AA272" i="2" s="1"/>
  <c r="AA271" i="2" s="1"/>
  <c r="AS328" i="2"/>
  <c r="AS272" i="2" s="1"/>
  <c r="AS271" i="2" s="1"/>
  <c r="BK328" i="2"/>
  <c r="BK272" i="2" s="1"/>
  <c r="BK271" i="2" s="1"/>
  <c r="BT338" i="2"/>
  <c r="BT337" i="2" s="1"/>
  <c r="V337" i="2"/>
  <c r="BP338" i="2"/>
  <c r="BR341" i="2"/>
  <c r="BN343" i="2"/>
  <c r="BP344" i="2"/>
  <c r="J346" i="2"/>
  <c r="I346" i="2"/>
  <c r="Y354" i="2"/>
  <c r="V358" i="2"/>
  <c r="S357" i="2"/>
  <c r="BT375" i="2"/>
  <c r="BT374" i="2" s="1"/>
  <c r="V374" i="2"/>
  <c r="Y382" i="2"/>
  <c r="P381" i="2"/>
  <c r="Y381" i="2" s="1"/>
  <c r="BT386" i="2"/>
  <c r="Q385" i="2"/>
  <c r="BO393" i="2"/>
  <c r="BO395" i="2"/>
  <c r="Z395" i="2"/>
  <c r="Q394" i="2"/>
  <c r="Z394" i="2" s="1"/>
  <c r="S400" i="2"/>
  <c r="Q407" i="2"/>
  <c r="BO408" i="2"/>
  <c r="Z408" i="2"/>
  <c r="G418" i="2"/>
  <c r="J419" i="2"/>
  <c r="I419" i="2"/>
  <c r="BU428" i="2"/>
  <c r="W429" i="2"/>
  <c r="BR429" i="2" s="1"/>
  <c r="BO429" i="2"/>
  <c r="BO423" i="2" s="1"/>
  <c r="Z429" i="2"/>
  <c r="BN438" i="2"/>
  <c r="BP438" i="2" s="1"/>
  <c r="U438" i="2"/>
  <c r="BQ438" i="2" s="1"/>
  <c r="BS438" i="2" s="1"/>
  <c r="BV438" i="2" s="1"/>
  <c r="X438" i="2"/>
  <c r="BW443" i="2"/>
  <c r="BU443" i="2"/>
  <c r="BU447" i="2"/>
  <c r="BO469" i="2"/>
  <c r="BP469" i="2" s="1"/>
  <c r="Z469" i="2"/>
  <c r="W469" i="2"/>
  <c r="BR469" i="2" s="1"/>
  <c r="J470" i="2"/>
  <c r="I470" i="2"/>
  <c r="W493" i="2"/>
  <c r="BR493" i="2" s="1"/>
  <c r="BO493" i="2"/>
  <c r="BP493" i="2" s="1"/>
  <c r="Z493" i="2"/>
  <c r="BP571" i="2"/>
  <c r="W281" i="2"/>
  <c r="BR281" i="2" s="1"/>
  <c r="U283" i="2"/>
  <c r="U289" i="2"/>
  <c r="BQ289" i="2" s="1"/>
  <c r="BS289" i="2" s="1"/>
  <c r="BV289" i="2" s="1"/>
  <c r="U291" i="2"/>
  <c r="U293" i="2"/>
  <c r="U300" i="2"/>
  <c r="BQ300" i="2" s="1"/>
  <c r="BS300" i="2" s="1"/>
  <c r="BV300" i="2" s="1"/>
  <c r="I302" i="2"/>
  <c r="I310" i="2"/>
  <c r="Q311" i="2"/>
  <c r="Z311" i="2" s="1"/>
  <c r="I314" i="2"/>
  <c r="E315" i="2"/>
  <c r="E806" i="2" s="1"/>
  <c r="Q315" i="2"/>
  <c r="Z315" i="2" s="1"/>
  <c r="O319" i="2"/>
  <c r="X319" i="2" s="1"/>
  <c r="V324" i="2"/>
  <c r="T324" i="2"/>
  <c r="BP325" i="2"/>
  <c r="O330" i="2"/>
  <c r="J333" i="2"/>
  <c r="BR338" i="2"/>
  <c r="BR337" i="2" s="1"/>
  <c r="G340" i="2"/>
  <c r="M339" i="2"/>
  <c r="M328" i="2" s="1"/>
  <c r="M272" i="2" s="1"/>
  <c r="BO341" i="2"/>
  <c r="BO340" i="2" s="1"/>
  <c r="BO339" i="2" s="1"/>
  <c r="Q340" i="2"/>
  <c r="J342" i="2"/>
  <c r="BN342" i="2"/>
  <c r="BP342" i="2" s="1"/>
  <c r="U346" i="2"/>
  <c r="P347" i="2"/>
  <c r="Y347" i="2" s="1"/>
  <c r="E349" i="2"/>
  <c r="E328" i="2" s="1"/>
  <c r="W364" i="2"/>
  <c r="Y375" i="2"/>
  <c r="P374" i="2"/>
  <c r="Y374" i="2" s="1"/>
  <c r="BR375" i="2"/>
  <c r="J379" i="2"/>
  <c r="I379" i="2"/>
  <c r="AK381" i="2"/>
  <c r="AK816" i="2" s="1"/>
  <c r="AB385" i="2"/>
  <c r="AB384" i="2" s="1"/>
  <c r="AH385" i="2"/>
  <c r="AH384" i="2" s="1"/>
  <c r="AN385" i="2"/>
  <c r="AT385" i="2"/>
  <c r="AT384" i="2" s="1"/>
  <c r="AZ385" i="2"/>
  <c r="AZ384" i="2" s="1"/>
  <c r="BF385" i="2"/>
  <c r="BF384" i="2" s="1"/>
  <c r="BL385" i="2"/>
  <c r="BL384" i="2" s="1"/>
  <c r="E391" i="2"/>
  <c r="E385" i="2" s="1"/>
  <c r="E384" i="2" s="1"/>
  <c r="G391" i="2"/>
  <c r="J392" i="2"/>
  <c r="V392" i="2"/>
  <c r="S391" i="2"/>
  <c r="J397" i="2"/>
  <c r="V398" i="2"/>
  <c r="BT399" i="2"/>
  <c r="BT398" i="2" s="1"/>
  <c r="BP403" i="2"/>
  <c r="J404" i="2"/>
  <c r="I404" i="2"/>
  <c r="V405" i="2"/>
  <c r="S404" i="2"/>
  <c r="P406" i="2"/>
  <c r="Y406" i="2" s="1"/>
  <c r="Y407" i="2"/>
  <c r="BP419" i="2"/>
  <c r="BN418" i="2"/>
  <c r="BP422" i="2"/>
  <c r="BN421" i="2"/>
  <c r="X425" i="2"/>
  <c r="O423" i="2"/>
  <c r="X423" i="2" s="1"/>
  <c r="U425" i="2"/>
  <c r="BS435" i="2"/>
  <c r="BV435" i="2" s="1"/>
  <c r="BP439" i="2"/>
  <c r="BU445" i="2"/>
  <c r="BR459" i="2"/>
  <c r="BR458" i="2" s="1"/>
  <c r="W458" i="2"/>
  <c r="O522" i="2"/>
  <c r="X522" i="2" s="1"/>
  <c r="BN523" i="2"/>
  <c r="X523" i="2"/>
  <c r="U523" i="2"/>
  <c r="U284" i="2"/>
  <c r="BQ284" i="2" s="1"/>
  <c r="BS284" i="2" s="1"/>
  <c r="BV284" i="2" s="1"/>
  <c r="BO289" i="2"/>
  <c r="BP289" i="2" s="1"/>
  <c r="BO291" i="2"/>
  <c r="BO290" i="2" s="1"/>
  <c r="BO293" i="2"/>
  <c r="BO292" i="2" s="1"/>
  <c r="BO300" i="2"/>
  <c r="U301" i="2"/>
  <c r="BQ301" i="2" s="1"/>
  <c r="BS301" i="2" s="1"/>
  <c r="BV301" i="2" s="1"/>
  <c r="BW301" i="2" s="1"/>
  <c r="U303" i="2"/>
  <c r="BQ303" i="2" s="1"/>
  <c r="BS303" i="2" s="1"/>
  <c r="BV303" i="2" s="1"/>
  <c r="BW303" i="2" s="1"/>
  <c r="S304" i="2"/>
  <c r="U305" i="2"/>
  <c r="S306" i="2"/>
  <c r="U307" i="2"/>
  <c r="S312" i="2"/>
  <c r="S311" i="2" s="1"/>
  <c r="U313" i="2"/>
  <c r="P317" i="2"/>
  <c r="Y317" i="2" s="1"/>
  <c r="Q320" i="2"/>
  <c r="Q322" i="2"/>
  <c r="Z322" i="2" s="1"/>
  <c r="W325" i="2"/>
  <c r="Z326" i="2"/>
  <c r="BU327" i="2"/>
  <c r="J331" i="2"/>
  <c r="T330" i="2"/>
  <c r="T329" i="2" s="1"/>
  <c r="T328" i="2" s="1"/>
  <c r="BN331" i="2"/>
  <c r="I333" i="2"/>
  <c r="Q333" i="2"/>
  <c r="Z333" i="2" s="1"/>
  <c r="Z334" i="2"/>
  <c r="V336" i="2"/>
  <c r="V340" i="2"/>
  <c r="V339" i="2" s="1"/>
  <c r="J344" i="2"/>
  <c r="I344" i="2"/>
  <c r="G345" i="2"/>
  <c r="J347" i="2"/>
  <c r="BN348" i="2"/>
  <c r="F349" i="2"/>
  <c r="F328" i="2" s="1"/>
  <c r="F272" i="2" s="1"/>
  <c r="F271" i="2" s="1"/>
  <c r="Z350" i="2"/>
  <c r="U351" i="2"/>
  <c r="X352" i="2"/>
  <c r="V356" i="2"/>
  <c r="AB359" i="2"/>
  <c r="AB272" i="2" s="1"/>
  <c r="AB271" i="2" s="1"/>
  <c r="AH359" i="2"/>
  <c r="AH272" i="2" s="1"/>
  <c r="AH271" i="2" s="1"/>
  <c r="AN359" i="2"/>
  <c r="AN272" i="2" s="1"/>
  <c r="AT359" i="2"/>
  <c r="AT272" i="2" s="1"/>
  <c r="AZ359" i="2"/>
  <c r="AZ272" i="2" s="1"/>
  <c r="AZ271" i="2" s="1"/>
  <c r="BF359" i="2"/>
  <c r="BF272" i="2" s="1"/>
  <c r="BF271" i="2" s="1"/>
  <c r="BL359" i="2"/>
  <c r="BL272" i="2" s="1"/>
  <c r="BL271" i="2" s="1"/>
  <c r="V360" i="2"/>
  <c r="BT361" i="2"/>
  <c r="BT360" i="2" s="1"/>
  <c r="G364" i="2"/>
  <c r="J365" i="2"/>
  <c r="V365" i="2"/>
  <c r="S364" i="2"/>
  <c r="S359" i="2" s="1"/>
  <c r="J372" i="2"/>
  <c r="I372" i="2"/>
  <c r="W373" i="2"/>
  <c r="BR373" i="2" s="1"/>
  <c r="Z375" i="2"/>
  <c r="Q374" i="2"/>
  <c r="Z374" i="2" s="1"/>
  <c r="U376" i="2"/>
  <c r="BQ376" i="2" s="1"/>
  <c r="H378" i="2"/>
  <c r="H359" i="2" s="1"/>
  <c r="X380" i="2"/>
  <c r="O379" i="2"/>
  <c r="U380" i="2"/>
  <c r="G386" i="2"/>
  <c r="S386" i="2"/>
  <c r="AC385" i="2"/>
  <c r="AC384" i="2" s="1"/>
  <c r="AI385" i="2"/>
  <c r="AI384" i="2" s="1"/>
  <c r="AO385" i="2"/>
  <c r="AU385" i="2"/>
  <c r="AU384" i="2" s="1"/>
  <c r="BA385" i="2"/>
  <c r="BA384" i="2" s="1"/>
  <c r="BG385" i="2"/>
  <c r="BG384" i="2" s="1"/>
  <c r="BM385" i="2"/>
  <c r="BM384" i="2" s="1"/>
  <c r="X387" i="2"/>
  <c r="O386" i="2"/>
  <c r="U387" i="2"/>
  <c r="I392" i="2"/>
  <c r="AA384" i="2"/>
  <c r="AG384" i="2"/>
  <c r="AG271" i="2" s="1"/>
  <c r="AM384" i="2"/>
  <c r="AS384" i="2"/>
  <c r="AY384" i="2"/>
  <c r="AY271" i="2" s="1"/>
  <c r="BE384" i="2"/>
  <c r="BE271" i="2" s="1"/>
  <c r="BK384" i="2"/>
  <c r="T401" i="2"/>
  <c r="T400" i="2" s="1"/>
  <c r="T385" i="2" s="1"/>
  <c r="BP409" i="2"/>
  <c r="BS411" i="2"/>
  <c r="BV411" i="2" s="1"/>
  <c r="BU413" i="2"/>
  <c r="J417" i="2"/>
  <c r="I417" i="2"/>
  <c r="Z421" i="2"/>
  <c r="J424" i="2"/>
  <c r="I424" i="2"/>
  <c r="BU432" i="2"/>
  <c r="J435" i="2"/>
  <c r="I435" i="2"/>
  <c r="I436" i="2"/>
  <c r="J436" i="2"/>
  <c r="S437" i="2"/>
  <c r="V437" i="2" s="1"/>
  <c r="BT437" i="2" s="1"/>
  <c r="AK423" i="2"/>
  <c r="AK807" i="2" s="1"/>
  <c r="P437" i="2"/>
  <c r="Y437" i="2" s="1"/>
  <c r="BS440" i="2"/>
  <c r="BV440" i="2" s="1"/>
  <c r="Z459" i="2"/>
  <c r="Q458" i="2"/>
  <c r="Z458" i="2" s="1"/>
  <c r="BO459" i="2"/>
  <c r="BS462" i="2"/>
  <c r="BV462" i="2" s="1"/>
  <c r="BR492" i="2"/>
  <c r="BR491" i="2" s="1"/>
  <c r="W491" i="2"/>
  <c r="I548" i="2"/>
  <c r="J548" i="2"/>
  <c r="U294" i="2"/>
  <c r="BQ294" i="2" s="1"/>
  <c r="BS294" i="2" s="1"/>
  <c r="BV294" i="2" s="1"/>
  <c r="S295" i="2"/>
  <c r="U296" i="2"/>
  <c r="U314" i="2"/>
  <c r="BQ314" i="2" s="1"/>
  <c r="BS314" i="2" s="1"/>
  <c r="BV314" i="2" s="1"/>
  <c r="BW314" i="2" s="1"/>
  <c r="Q324" i="2"/>
  <c r="Z324" i="2" s="1"/>
  <c r="J337" i="2"/>
  <c r="AE339" i="2"/>
  <c r="AE328" i="2" s="1"/>
  <c r="AE272" i="2" s="1"/>
  <c r="AE271" i="2" s="1"/>
  <c r="AK339" i="2"/>
  <c r="AK328" i="2" s="1"/>
  <c r="AQ339" i="2"/>
  <c r="AQ328" i="2" s="1"/>
  <c r="AQ272" i="2" s="1"/>
  <c r="AQ271" i="2" s="1"/>
  <c r="AW339" i="2"/>
  <c r="AW328" i="2" s="1"/>
  <c r="AW272" i="2" s="1"/>
  <c r="AW271" i="2" s="1"/>
  <c r="BC339" i="2"/>
  <c r="BC328" i="2" s="1"/>
  <c r="BC272" i="2" s="1"/>
  <c r="BI339" i="2"/>
  <c r="BI328" i="2" s="1"/>
  <c r="BI272" i="2" s="1"/>
  <c r="BI271" i="2" s="1"/>
  <c r="U344" i="2"/>
  <c r="O349" i="2"/>
  <c r="X349" i="2" s="1"/>
  <c r="Y351" i="2"/>
  <c r="P350" i="2"/>
  <c r="V350" i="2"/>
  <c r="Y356" i="2"/>
  <c r="J360" i="2"/>
  <c r="I360" i="2"/>
  <c r="G368" i="2"/>
  <c r="J369" i="2"/>
  <c r="V369" i="2"/>
  <c r="S368" i="2"/>
  <c r="N359" i="2"/>
  <c r="N272" i="2" s="1"/>
  <c r="T378" i="2"/>
  <c r="T359" i="2" s="1"/>
  <c r="Y380" i="2"/>
  <c r="P379" i="2"/>
  <c r="V378" i="2"/>
  <c r="H385" i="2"/>
  <c r="H384" i="2" s="1"/>
  <c r="Y387" i="2"/>
  <c r="P386" i="2"/>
  <c r="J393" i="2"/>
  <c r="I393" i="2"/>
  <c r="X402" i="2"/>
  <c r="O401" i="2"/>
  <c r="U402" i="2"/>
  <c r="X407" i="2"/>
  <c r="V408" i="2"/>
  <c r="S407" i="2"/>
  <c r="S406" i="2" s="1"/>
  <c r="BU412" i="2"/>
  <c r="BR419" i="2"/>
  <c r="BR418" i="2" s="1"/>
  <c r="W418" i="2"/>
  <c r="T173" i="3"/>
  <c r="R145" i="3"/>
  <c r="C8" i="3"/>
  <c r="I7" i="3"/>
  <c r="F797" i="2"/>
  <c r="H797" i="2" s="1"/>
  <c r="T423" i="2"/>
  <c r="BU444" i="2"/>
  <c r="BW444" i="2"/>
  <c r="Z446" i="2"/>
  <c r="W446" i="2"/>
  <c r="BR446" i="2" s="1"/>
  <c r="BS446" i="2" s="1"/>
  <c r="BV446" i="2" s="1"/>
  <c r="BO446" i="2"/>
  <c r="BP446" i="2" s="1"/>
  <c r="P462" i="2"/>
  <c r="Y462" i="2" s="1"/>
  <c r="S462" i="2"/>
  <c r="AE460" i="2"/>
  <c r="AE809" i="2" s="1"/>
  <c r="BU465" i="2"/>
  <c r="M93" i="3"/>
  <c r="L120" i="3" s="1"/>
  <c r="N120" i="3" s="1"/>
  <c r="V561" i="2"/>
  <c r="S560" i="2"/>
  <c r="S559" i="2" s="1"/>
  <c r="W327" i="2"/>
  <c r="BR327" i="2" s="1"/>
  <c r="BS327" i="2" s="1"/>
  <c r="BV327" i="2" s="1"/>
  <c r="BW327" i="2" s="1"/>
  <c r="W342" i="2"/>
  <c r="BR342" i="2" s="1"/>
  <c r="BS342" i="2" s="1"/>
  <c r="BV342" i="2" s="1"/>
  <c r="W344" i="2"/>
  <c r="W346" i="2"/>
  <c r="W348" i="2"/>
  <c r="W351" i="2"/>
  <c r="BN352" i="2"/>
  <c r="BP352" i="2" s="1"/>
  <c r="U354" i="2"/>
  <c r="BN354" i="2"/>
  <c r="U356" i="2"/>
  <c r="BN356" i="2"/>
  <c r="U358" i="2"/>
  <c r="BN358" i="2"/>
  <c r="BO361" i="2"/>
  <c r="BO360" i="2" s="1"/>
  <c r="U362" i="2"/>
  <c r="BQ362" i="2" s="1"/>
  <c r="BS362" i="2" s="1"/>
  <c r="BV362" i="2" s="1"/>
  <c r="BN362" i="2"/>
  <c r="BP362" i="2" s="1"/>
  <c r="Z363" i="2"/>
  <c r="Z365" i="2"/>
  <c r="W376" i="2"/>
  <c r="BR376" i="2" s="1"/>
  <c r="BO377" i="2"/>
  <c r="BO374" i="2" s="1"/>
  <c r="W380" i="2"/>
  <c r="W382" i="2"/>
  <c r="BO382" i="2"/>
  <c r="BO381" i="2" s="1"/>
  <c r="BO378" i="2" s="1"/>
  <c r="U383" i="2"/>
  <c r="BQ383" i="2" s="1"/>
  <c r="BS383" i="2" s="1"/>
  <c r="BV383" i="2" s="1"/>
  <c r="BN383" i="2"/>
  <c r="BP383" i="2" s="1"/>
  <c r="W387" i="2"/>
  <c r="BO388" i="2"/>
  <c r="BO386" i="2" s="1"/>
  <c r="U389" i="2"/>
  <c r="BQ389" i="2" s="1"/>
  <c r="BS389" i="2" s="1"/>
  <c r="BV389" i="2" s="1"/>
  <c r="BN389" i="2"/>
  <c r="BP389" i="2" s="1"/>
  <c r="Z390" i="2"/>
  <c r="Z392" i="2"/>
  <c r="X393" i="2"/>
  <c r="P394" i="2"/>
  <c r="Y394" i="2" s="1"/>
  <c r="V394" i="2"/>
  <c r="X395" i="2"/>
  <c r="W396" i="2"/>
  <c r="BR396" i="2" s="1"/>
  <c r="U397" i="2"/>
  <c r="BQ397" i="2" s="1"/>
  <c r="BS397" i="2" s="1"/>
  <c r="BV397" i="2" s="1"/>
  <c r="BN397" i="2"/>
  <c r="BP397" i="2" s="1"/>
  <c r="S398" i="2"/>
  <c r="U399" i="2"/>
  <c r="BN399" i="2"/>
  <c r="BO402" i="2"/>
  <c r="BO401" i="2" s="1"/>
  <c r="BO400" i="2" s="1"/>
  <c r="U403" i="2"/>
  <c r="BQ403" i="2" s="1"/>
  <c r="BS403" i="2" s="1"/>
  <c r="BV403" i="2" s="1"/>
  <c r="J405" i="2"/>
  <c r="Z405" i="2"/>
  <c r="G407" i="2"/>
  <c r="T408" i="2"/>
  <c r="T409" i="2"/>
  <c r="U410" i="2"/>
  <c r="BQ410" i="2" s="1"/>
  <c r="BS410" i="2" s="1"/>
  <c r="BV410" i="2" s="1"/>
  <c r="BN410" i="2"/>
  <c r="U412" i="2"/>
  <c r="BQ412" i="2" s="1"/>
  <c r="BS412" i="2" s="1"/>
  <c r="BV412" i="2" s="1"/>
  <c r="BW412" i="2" s="1"/>
  <c r="W413" i="2"/>
  <c r="BR413" i="2" s="1"/>
  <c r="BO414" i="2"/>
  <c r="BP414" i="2" s="1"/>
  <c r="U415" i="2"/>
  <c r="BQ415" i="2" s="1"/>
  <c r="BS415" i="2" s="1"/>
  <c r="BV415" i="2" s="1"/>
  <c r="BN415" i="2"/>
  <c r="BP415" i="2" s="1"/>
  <c r="Z416" i="2"/>
  <c r="Q418" i="2"/>
  <c r="Z418" i="2" s="1"/>
  <c r="BO422" i="2"/>
  <c r="BO421" i="2" s="1"/>
  <c r="N423" i="2"/>
  <c r="N420" i="2" s="1"/>
  <c r="BN424" i="2"/>
  <c r="BN426" i="2"/>
  <c r="BP426" i="2" s="1"/>
  <c r="W427" i="2"/>
  <c r="BR427" i="2" s="1"/>
  <c r="S428" i="2"/>
  <c r="V428" i="2" s="1"/>
  <c r="BT428" i="2" s="1"/>
  <c r="BT423" i="2" s="1"/>
  <c r="BN430" i="2"/>
  <c r="BP430" i="2" s="1"/>
  <c r="W431" i="2"/>
  <c r="BR431" i="2" s="1"/>
  <c r="BO433" i="2"/>
  <c r="BP433" i="2" s="1"/>
  <c r="BN436" i="2"/>
  <c r="BP436" i="2" s="1"/>
  <c r="U437" i="2"/>
  <c r="BQ437" i="2" s="1"/>
  <c r="BS437" i="2" s="1"/>
  <c r="BV437" i="2" s="1"/>
  <c r="BN437" i="2"/>
  <c r="BP437" i="2" s="1"/>
  <c r="S439" i="2"/>
  <c r="V439" i="2" s="1"/>
  <c r="BT439" i="2" s="1"/>
  <c r="W442" i="2"/>
  <c r="BR442" i="2" s="1"/>
  <c r="BS442" i="2" s="1"/>
  <c r="BV442" i="2" s="1"/>
  <c r="J451" i="2"/>
  <c r="I451" i="2"/>
  <c r="U453" i="2"/>
  <c r="BQ453" i="2" s="1"/>
  <c r="BS453" i="2" s="1"/>
  <c r="BV453" i="2" s="1"/>
  <c r="W456" i="2"/>
  <c r="BR456" i="2" s="1"/>
  <c r="W457" i="2"/>
  <c r="BR457" i="2" s="1"/>
  <c r="BN459" i="2"/>
  <c r="L460" i="2"/>
  <c r="L809" i="2" s="1"/>
  <c r="J463" i="2"/>
  <c r="I463" i="2"/>
  <c r="BP476" i="2"/>
  <c r="J477" i="2"/>
  <c r="I477" i="2"/>
  <c r="BN480" i="2"/>
  <c r="O479" i="2"/>
  <c r="X479" i="2" s="1"/>
  <c r="X480" i="2"/>
  <c r="U480" i="2"/>
  <c r="L486" i="2"/>
  <c r="L485" i="2" s="1"/>
  <c r="V487" i="2"/>
  <c r="S487" i="2"/>
  <c r="S486" i="2" s="1"/>
  <c r="S485" i="2" s="1"/>
  <c r="P487" i="2"/>
  <c r="AE486" i="2"/>
  <c r="AE485" i="2" s="1"/>
  <c r="Z494" i="2"/>
  <c r="BO494" i="2"/>
  <c r="I496" i="2"/>
  <c r="J496" i="2"/>
  <c r="BN498" i="2"/>
  <c r="BP498" i="2" s="1"/>
  <c r="X498" i="2"/>
  <c r="X503" i="2"/>
  <c r="BN503" i="2"/>
  <c r="BP503" i="2" s="1"/>
  <c r="O501" i="2"/>
  <c r="X501" i="2" s="1"/>
  <c r="U503" i="2"/>
  <c r="BQ503" i="2" s="1"/>
  <c r="BU514" i="2"/>
  <c r="BH530" i="2"/>
  <c r="BO558" i="2"/>
  <c r="Z558" i="2"/>
  <c r="W558" i="2"/>
  <c r="BR558" i="2" s="1"/>
  <c r="Z560" i="2"/>
  <c r="BN619" i="2"/>
  <c r="BN618" i="2" s="1"/>
  <c r="BR620" i="2"/>
  <c r="BR619" i="2" s="1"/>
  <c r="BR618" i="2" s="1"/>
  <c r="W619" i="2"/>
  <c r="W618" i="2" s="1"/>
  <c r="W361" i="2"/>
  <c r="U363" i="2"/>
  <c r="BQ363" i="2" s="1"/>
  <c r="BS363" i="2" s="1"/>
  <c r="BV363" i="2" s="1"/>
  <c r="BW363" i="2" s="1"/>
  <c r="U365" i="2"/>
  <c r="BN365" i="2"/>
  <c r="U367" i="2"/>
  <c r="BN367" i="2"/>
  <c r="U369" i="2"/>
  <c r="BN369" i="2"/>
  <c r="U371" i="2"/>
  <c r="BN371" i="2"/>
  <c r="W388" i="2"/>
  <c r="BR388" i="2" s="1"/>
  <c r="U390" i="2"/>
  <c r="BQ390" i="2" s="1"/>
  <c r="BS390" i="2" s="1"/>
  <c r="BV390" i="2" s="1"/>
  <c r="BW390" i="2" s="1"/>
  <c r="U392" i="2"/>
  <c r="BN392" i="2"/>
  <c r="X396" i="2"/>
  <c r="W402" i="2"/>
  <c r="U405" i="2"/>
  <c r="BN405" i="2"/>
  <c r="U408" i="2"/>
  <c r="Z411" i="2"/>
  <c r="X413" i="2"/>
  <c r="W414" i="2"/>
  <c r="BR414" i="2" s="1"/>
  <c r="U416" i="2"/>
  <c r="BQ416" i="2" s="1"/>
  <c r="BS416" i="2" s="1"/>
  <c r="BV416" i="2" s="1"/>
  <c r="BN416" i="2"/>
  <c r="BP416" i="2" s="1"/>
  <c r="W422" i="2"/>
  <c r="U424" i="2"/>
  <c r="W425" i="2"/>
  <c r="U426" i="2"/>
  <c r="BQ426" i="2" s="1"/>
  <c r="BS426" i="2" s="1"/>
  <c r="BV426" i="2" s="1"/>
  <c r="U430" i="2"/>
  <c r="BQ430" i="2" s="1"/>
  <c r="BS430" i="2" s="1"/>
  <c r="BV430" i="2" s="1"/>
  <c r="U436" i="2"/>
  <c r="BQ436" i="2" s="1"/>
  <c r="BS436" i="2" s="1"/>
  <c r="BV436" i="2" s="1"/>
  <c r="BN450" i="2"/>
  <c r="BP450" i="2" s="1"/>
  <c r="U450" i="2"/>
  <c r="BQ450" i="2" s="1"/>
  <c r="BS450" i="2" s="1"/>
  <c r="BV450" i="2" s="1"/>
  <c r="U451" i="2"/>
  <c r="BQ451" i="2" s="1"/>
  <c r="U452" i="2"/>
  <c r="BQ452" i="2" s="1"/>
  <c r="BS452" i="2" s="1"/>
  <c r="BV452" i="2" s="1"/>
  <c r="BR461" i="2"/>
  <c r="BN464" i="2"/>
  <c r="BP464" i="2" s="1"/>
  <c r="X464" i="2"/>
  <c r="U467" i="2"/>
  <c r="BQ467" i="2" s="1"/>
  <c r="BS467" i="2" s="1"/>
  <c r="BV467" i="2" s="1"/>
  <c r="BN470" i="2"/>
  <c r="BP470" i="2" s="1"/>
  <c r="J471" i="2"/>
  <c r="I471" i="2"/>
  <c r="X472" i="2"/>
  <c r="O471" i="2"/>
  <c r="X471" i="2" s="1"/>
  <c r="U472" i="2"/>
  <c r="BO474" i="2"/>
  <c r="BP474" i="2" s="1"/>
  <c r="Z474" i="2"/>
  <c r="P479" i="2"/>
  <c r="Y479" i="2" s="1"/>
  <c r="Y480" i="2"/>
  <c r="V479" i="2"/>
  <c r="BT480" i="2"/>
  <c r="BT479" i="2" s="1"/>
  <c r="Q487" i="2"/>
  <c r="AL486" i="2"/>
  <c r="AL485" i="2" s="1"/>
  <c r="J491" i="2"/>
  <c r="I491" i="2"/>
  <c r="V492" i="2"/>
  <c r="S491" i="2"/>
  <c r="BN499" i="2"/>
  <c r="X499" i="2"/>
  <c r="U499" i="2"/>
  <c r="BQ499" i="2" s="1"/>
  <c r="BS499" i="2" s="1"/>
  <c r="BV499" i="2" s="1"/>
  <c r="Y502" i="2"/>
  <c r="P501" i="2"/>
  <c r="Y501" i="2" s="1"/>
  <c r="BR502" i="2"/>
  <c r="BW508" i="2"/>
  <c r="BU508" i="2"/>
  <c r="X509" i="2"/>
  <c r="BN509" i="2"/>
  <c r="BP509" i="2" s="1"/>
  <c r="U509" i="2"/>
  <c r="BQ509" i="2" s="1"/>
  <c r="R515" i="2"/>
  <c r="I524" i="2"/>
  <c r="J524" i="2"/>
  <c r="I527" i="2"/>
  <c r="J527" i="2"/>
  <c r="G526" i="2"/>
  <c r="J538" i="2"/>
  <c r="I538" i="2"/>
  <c r="J554" i="2"/>
  <c r="G552" i="2"/>
  <c r="I554" i="2"/>
  <c r="BR557" i="2"/>
  <c r="BR556" i="2" s="1"/>
  <c r="W556" i="2"/>
  <c r="U372" i="2"/>
  <c r="BQ372" i="2" s="1"/>
  <c r="BS372" i="2" s="1"/>
  <c r="BV372" i="2" s="1"/>
  <c r="I376" i="2"/>
  <c r="I380" i="2"/>
  <c r="I382" i="2"/>
  <c r="I387" i="2"/>
  <c r="I396" i="2"/>
  <c r="W403" i="2"/>
  <c r="BR403" i="2" s="1"/>
  <c r="I413" i="2"/>
  <c r="U417" i="2"/>
  <c r="BQ417" i="2" s="1"/>
  <c r="BS417" i="2" s="1"/>
  <c r="BV417" i="2" s="1"/>
  <c r="U419" i="2"/>
  <c r="AO423" i="2"/>
  <c r="AO807" i="2" s="1"/>
  <c r="U428" i="2"/>
  <c r="BQ428" i="2" s="1"/>
  <c r="U429" i="2"/>
  <c r="BQ429" i="2" s="1"/>
  <c r="BS429" i="2" s="1"/>
  <c r="BV429" i="2" s="1"/>
  <c r="BN429" i="2"/>
  <c r="BP429" i="2" s="1"/>
  <c r="I434" i="2"/>
  <c r="BN435" i="2"/>
  <c r="BP435" i="2" s="1"/>
  <c r="W437" i="2"/>
  <c r="BR437" i="2" s="1"/>
  <c r="U439" i="2"/>
  <c r="BQ439" i="2" s="1"/>
  <c r="I446" i="2"/>
  <c r="U447" i="2"/>
  <c r="BQ447" i="2" s="1"/>
  <c r="BS447" i="2" s="1"/>
  <c r="BV447" i="2" s="1"/>
  <c r="BW447" i="2" s="1"/>
  <c r="I449" i="2"/>
  <c r="BO456" i="2"/>
  <c r="BP456" i="2" s="1"/>
  <c r="G460" i="2"/>
  <c r="O460" i="2"/>
  <c r="X460" i="2" s="1"/>
  <c r="BN461" i="2"/>
  <c r="X461" i="2"/>
  <c r="Z461" i="2"/>
  <c r="V462" i="2"/>
  <c r="BT462" i="2" s="1"/>
  <c r="U465" i="2"/>
  <c r="BQ465" i="2" s="1"/>
  <c r="U466" i="2"/>
  <c r="BQ466" i="2" s="1"/>
  <c r="BS466" i="2" s="1"/>
  <c r="BV466" i="2" s="1"/>
  <c r="I469" i="2"/>
  <c r="P470" i="2"/>
  <c r="Y470" i="2" s="1"/>
  <c r="Y472" i="2"/>
  <c r="P471" i="2"/>
  <c r="Y471" i="2" s="1"/>
  <c r="BQ478" i="2"/>
  <c r="U477" i="2"/>
  <c r="I483" i="2"/>
  <c r="J483" i="2"/>
  <c r="T481" i="2"/>
  <c r="T816" i="2" s="1"/>
  <c r="J492" i="2"/>
  <c r="I492" i="2"/>
  <c r="K535" i="2"/>
  <c r="K531" i="2" s="1"/>
  <c r="K530" i="2" s="1"/>
  <c r="S552" i="2"/>
  <c r="V553" i="2"/>
  <c r="U326" i="2"/>
  <c r="BQ326" i="2" s="1"/>
  <c r="BS326" i="2" s="1"/>
  <c r="BV326" i="2" s="1"/>
  <c r="U332" i="2"/>
  <c r="BQ332" i="2" s="1"/>
  <c r="BS332" i="2" s="1"/>
  <c r="BV332" i="2" s="1"/>
  <c r="BW332" i="2" s="1"/>
  <c r="U334" i="2"/>
  <c r="U336" i="2"/>
  <c r="U338" i="2"/>
  <c r="G350" i="2"/>
  <c r="U373" i="2"/>
  <c r="BQ373" i="2" s="1"/>
  <c r="BS373" i="2" s="1"/>
  <c r="BV373" i="2" s="1"/>
  <c r="U375" i="2"/>
  <c r="U393" i="2"/>
  <c r="BQ393" i="2" s="1"/>
  <c r="G394" i="2"/>
  <c r="U395" i="2"/>
  <c r="X412" i="2"/>
  <c r="BO417" i="2"/>
  <c r="BP417" i="2" s="1"/>
  <c r="BO419" i="2"/>
  <c r="BO418" i="2" s="1"/>
  <c r="I421" i="2"/>
  <c r="Y422" i="2"/>
  <c r="Q423" i="2"/>
  <c r="Z423" i="2" s="1"/>
  <c r="W424" i="2"/>
  <c r="I427" i="2"/>
  <c r="Z427" i="2"/>
  <c r="I431" i="2"/>
  <c r="Z431" i="2"/>
  <c r="BU434" i="2"/>
  <c r="I438" i="2"/>
  <c r="I442" i="2"/>
  <c r="X450" i="2"/>
  <c r="W451" i="2"/>
  <c r="BR451" i="2" s="1"/>
  <c r="BW453" i="2"/>
  <c r="BU453" i="2"/>
  <c r="I454" i="2"/>
  <c r="U459" i="2"/>
  <c r="BN472" i="2"/>
  <c r="X478" i="2"/>
  <c r="BN478" i="2"/>
  <c r="O477" i="2"/>
  <c r="X477" i="2" s="1"/>
  <c r="BR481" i="2"/>
  <c r="N486" i="2"/>
  <c r="N485" i="2" s="1"/>
  <c r="O796" i="2" s="1"/>
  <c r="C6" i="3"/>
  <c r="I8" i="3"/>
  <c r="R146" i="3"/>
  <c r="T146" i="3" s="1"/>
  <c r="BS492" i="2"/>
  <c r="BU505" i="2"/>
  <c r="BD531" i="2"/>
  <c r="BD530" i="2" s="1"/>
  <c r="BD529" i="2" s="1"/>
  <c r="BW546" i="2"/>
  <c r="BU604" i="2"/>
  <c r="U396" i="2"/>
  <c r="BQ396" i="2" s="1"/>
  <c r="BS396" i="2" s="1"/>
  <c r="BV396" i="2" s="1"/>
  <c r="BW396" i="2" s="1"/>
  <c r="S223" i="3"/>
  <c r="U413" i="2"/>
  <c r="BQ413" i="2" s="1"/>
  <c r="BS413" i="2" s="1"/>
  <c r="BV413" i="2" s="1"/>
  <c r="BW413" i="2" s="1"/>
  <c r="J425" i="2"/>
  <c r="W428" i="2"/>
  <c r="BR428" i="2" s="1"/>
  <c r="W432" i="2"/>
  <c r="BR432" i="2" s="1"/>
  <c r="BS432" i="2" s="1"/>
  <c r="BV432" i="2" s="1"/>
  <c r="BW432" i="2" s="1"/>
  <c r="W439" i="2"/>
  <c r="BR439" i="2" s="1"/>
  <c r="BO442" i="2"/>
  <c r="BP442" i="2" s="1"/>
  <c r="BO448" i="2"/>
  <c r="BP448" i="2" s="1"/>
  <c r="W448" i="2"/>
  <c r="BR448" i="2" s="1"/>
  <c r="BN451" i="2"/>
  <c r="BP451" i="2" s="1"/>
  <c r="BN452" i="2"/>
  <c r="BP452" i="2" s="1"/>
  <c r="BO455" i="2"/>
  <c r="BP455" i="2" s="1"/>
  <c r="Z455" i="2"/>
  <c r="J456" i="2"/>
  <c r="I456" i="2"/>
  <c r="U457" i="2"/>
  <c r="BQ457" i="2" s="1"/>
  <c r="BS457" i="2" s="1"/>
  <c r="BV457" i="2" s="1"/>
  <c r="BW457" i="2" s="1"/>
  <c r="O458" i="2"/>
  <c r="X458" i="2" s="1"/>
  <c r="Y459" i="2"/>
  <c r="P458" i="2"/>
  <c r="Y458" i="2" s="1"/>
  <c r="S461" i="2"/>
  <c r="S460" i="2" s="1"/>
  <c r="Q460" i="2"/>
  <c r="Z460" i="2" s="1"/>
  <c r="X462" i="2"/>
  <c r="BN462" i="2"/>
  <c r="BP462" i="2" s="1"/>
  <c r="Z462" i="2"/>
  <c r="R460" i="2"/>
  <c r="R420" i="2" s="1"/>
  <c r="BO463" i="2"/>
  <c r="BP463" i="2" s="1"/>
  <c r="T464" i="2"/>
  <c r="T460" i="2" s="1"/>
  <c r="T809" i="2" s="1"/>
  <c r="W465" i="2"/>
  <c r="BR465" i="2" s="1"/>
  <c r="BN467" i="2"/>
  <c r="BP467" i="2" s="1"/>
  <c r="L471" i="2"/>
  <c r="L810" i="2" s="1"/>
  <c r="V473" i="2"/>
  <c r="BT473" i="2" s="1"/>
  <c r="BT471" i="2" s="1"/>
  <c r="J474" i="2"/>
  <c r="I474" i="2"/>
  <c r="BO475" i="2"/>
  <c r="BP475" i="2" s="1"/>
  <c r="U476" i="2"/>
  <c r="BQ476" i="2" s="1"/>
  <c r="BS476" i="2" s="1"/>
  <c r="BV476" i="2" s="1"/>
  <c r="P481" i="2"/>
  <c r="Y481" i="2" s="1"/>
  <c r="Z482" i="2"/>
  <c r="BO482" i="2"/>
  <c r="Q481" i="2"/>
  <c r="Z481" i="2" s="1"/>
  <c r="V484" i="2"/>
  <c r="S481" i="2"/>
  <c r="T487" i="2"/>
  <c r="T486" i="2" s="1"/>
  <c r="T485" i="2" s="1"/>
  <c r="W488" i="2"/>
  <c r="AN490" i="2"/>
  <c r="AN489" i="2" s="1"/>
  <c r="AT490" i="2"/>
  <c r="AT489" i="2" s="1"/>
  <c r="U495" i="2"/>
  <c r="BQ495" i="2" s="1"/>
  <c r="BS495" i="2" s="1"/>
  <c r="BV495" i="2" s="1"/>
  <c r="O491" i="2"/>
  <c r="X495" i="2"/>
  <c r="Z507" i="2"/>
  <c r="BO507" i="2"/>
  <c r="W507" i="2"/>
  <c r="BR507" i="2" s="1"/>
  <c r="BS507" i="2" s="1"/>
  <c r="BV507" i="2" s="1"/>
  <c r="BU511" i="2"/>
  <c r="BS513" i="2"/>
  <c r="BV513" i="2" s="1"/>
  <c r="BN517" i="2"/>
  <c r="O516" i="2"/>
  <c r="X517" i="2"/>
  <c r="U517" i="2"/>
  <c r="Y520" i="2"/>
  <c r="P519" i="2"/>
  <c r="Y519" i="2" s="1"/>
  <c r="BS521" i="2"/>
  <c r="BV521" i="2" s="1"/>
  <c r="I569" i="2"/>
  <c r="J569" i="2"/>
  <c r="BF565" i="2"/>
  <c r="W470" i="2"/>
  <c r="BR470" i="2" s="1"/>
  <c r="BS470" i="2" s="1"/>
  <c r="BV470" i="2" s="1"/>
  <c r="W472" i="2"/>
  <c r="U473" i="2"/>
  <c r="BQ473" i="2" s="1"/>
  <c r="W476" i="2"/>
  <c r="BR476" i="2" s="1"/>
  <c r="BT478" i="2"/>
  <c r="BT477" i="2" s="1"/>
  <c r="W480" i="2"/>
  <c r="R481" i="2"/>
  <c r="U484" i="2"/>
  <c r="BQ484" i="2" s="1"/>
  <c r="BS484" i="2" s="1"/>
  <c r="BV484" i="2" s="1"/>
  <c r="Q501" i="2"/>
  <c r="Z501" i="2" s="1"/>
  <c r="U504" i="2"/>
  <c r="BQ504" i="2" s="1"/>
  <c r="BS504" i="2" s="1"/>
  <c r="BV504" i="2" s="1"/>
  <c r="U510" i="2"/>
  <c r="BQ510" i="2" s="1"/>
  <c r="BS510" i="2" s="1"/>
  <c r="BV510" i="2" s="1"/>
  <c r="J513" i="2"/>
  <c r="I513" i="2"/>
  <c r="M515" i="2"/>
  <c r="M384" i="2" s="1"/>
  <c r="AE515" i="2"/>
  <c r="AK515" i="2"/>
  <c r="AQ515" i="2"/>
  <c r="AW515" i="2"/>
  <c r="BC515" i="2"/>
  <c r="BC384" i="2" s="1"/>
  <c r="BI515" i="2"/>
  <c r="BR517" i="2"/>
  <c r="BR516" i="2" s="1"/>
  <c r="W516" i="2"/>
  <c r="BT516" i="2"/>
  <c r="BT515" i="2" s="1"/>
  <c r="U525" i="2"/>
  <c r="AY530" i="2"/>
  <c r="BS538" i="2"/>
  <c r="BV538" i="2" s="1"/>
  <c r="V540" i="2"/>
  <c r="S539" i="2"/>
  <c r="O541" i="2"/>
  <c r="BN542" i="2"/>
  <c r="U542" i="2"/>
  <c r="W545" i="2"/>
  <c r="Z545" i="2"/>
  <c r="Z547" i="2"/>
  <c r="W547" i="2"/>
  <c r="BR547" i="2" s="1"/>
  <c r="BR551" i="2"/>
  <c r="BR550" i="2" s="1"/>
  <c r="W550" i="2"/>
  <c r="O552" i="2"/>
  <c r="X552" i="2" s="1"/>
  <c r="X554" i="2"/>
  <c r="BN554" i="2"/>
  <c r="BP554" i="2" s="1"/>
  <c r="U554" i="2"/>
  <c r="BQ554" i="2" s="1"/>
  <c r="BS554" i="2" s="1"/>
  <c r="BV554" i="2" s="1"/>
  <c r="J561" i="2"/>
  <c r="G560" i="2"/>
  <c r="I561" i="2"/>
  <c r="BU562" i="2"/>
  <c r="J575" i="2"/>
  <c r="I575" i="2"/>
  <c r="BO579" i="2"/>
  <c r="Z579" i="2"/>
  <c r="Q577" i="2"/>
  <c r="Z577" i="2" s="1"/>
  <c r="W579" i="2"/>
  <c r="W582" i="2"/>
  <c r="Q581" i="2"/>
  <c r="BO582" i="2"/>
  <c r="Z582" i="2"/>
  <c r="J617" i="2"/>
  <c r="I617" i="2"/>
  <c r="J651" i="2"/>
  <c r="I651" i="2"/>
  <c r="BW660" i="2"/>
  <c r="BU660" i="2"/>
  <c r="U454" i="2"/>
  <c r="BQ454" i="2" s="1"/>
  <c r="BS454" i="2" s="1"/>
  <c r="BV454" i="2" s="1"/>
  <c r="U468" i="2"/>
  <c r="BQ468" i="2" s="1"/>
  <c r="BS468" i="2" s="1"/>
  <c r="BV468" i="2" s="1"/>
  <c r="BN473" i="2"/>
  <c r="BP473" i="2" s="1"/>
  <c r="I475" i="2"/>
  <c r="P477" i="2"/>
  <c r="Y477" i="2" s="1"/>
  <c r="BO483" i="2"/>
  <c r="BP483" i="2" s="1"/>
  <c r="AR486" i="2"/>
  <c r="AR485" i="2" s="1"/>
  <c r="X487" i="2"/>
  <c r="P491" i="2"/>
  <c r="J493" i="2"/>
  <c r="T491" i="2"/>
  <c r="T490" i="2" s="1"/>
  <c r="T489" i="2" s="1"/>
  <c r="BN494" i="2"/>
  <c r="BP494" i="2" s="1"/>
  <c r="BS496" i="2"/>
  <c r="BV496" i="2" s="1"/>
  <c r="BO496" i="2"/>
  <c r="BP496" i="2" s="1"/>
  <c r="BN497" i="2"/>
  <c r="BP497" i="2" s="1"/>
  <c r="Z498" i="2"/>
  <c r="Z499" i="2"/>
  <c r="BO499" i="2"/>
  <c r="V501" i="2"/>
  <c r="Z502" i="2"/>
  <c r="W503" i="2"/>
  <c r="BR503" i="2" s="1"/>
  <c r="I506" i="2"/>
  <c r="BN507" i="2"/>
  <c r="BP507" i="2" s="1"/>
  <c r="Z508" i="2"/>
  <c r="W509" i="2"/>
  <c r="BR509" i="2" s="1"/>
  <c r="I512" i="2"/>
  <c r="Z517" i="2"/>
  <c r="Q516" i="2"/>
  <c r="BO517" i="2"/>
  <c r="BO516" i="2" s="1"/>
  <c r="Z520" i="2"/>
  <c r="BR523" i="2"/>
  <c r="BR522" i="2" s="1"/>
  <c r="W522" i="2"/>
  <c r="U527" i="2"/>
  <c r="AI530" i="2"/>
  <c r="BA530" i="2"/>
  <c r="L531" i="2"/>
  <c r="AX531" i="2"/>
  <c r="AX530" i="2" s="1"/>
  <c r="BJ531" i="2"/>
  <c r="BJ530" i="2" s="1"/>
  <c r="O537" i="2"/>
  <c r="U537" i="2" s="1"/>
  <c r="BQ537" i="2" s="1"/>
  <c r="BS537" i="2" s="1"/>
  <c r="BV537" i="2" s="1"/>
  <c r="R537" i="2"/>
  <c r="R535" i="2" s="1"/>
  <c r="AM535" i="2"/>
  <c r="AM806" i="2" s="1"/>
  <c r="AM804" i="2" s="1"/>
  <c r="E531" i="2"/>
  <c r="E530" i="2" s="1"/>
  <c r="AF531" i="2"/>
  <c r="AF530" i="2" s="1"/>
  <c r="AL531" i="2"/>
  <c r="AL530" i="2" s="1"/>
  <c r="AL529" i="2" s="1"/>
  <c r="J540" i="2"/>
  <c r="I540" i="2"/>
  <c r="X542" i="2"/>
  <c r="J546" i="2"/>
  <c r="G544" i="2"/>
  <c r="I546" i="2"/>
  <c r="P550" i="2"/>
  <c r="Y550" i="2" s="1"/>
  <c r="Y551" i="2"/>
  <c r="BO555" i="2"/>
  <c r="W555" i="2"/>
  <c r="BR555" i="2" s="1"/>
  <c r="BS555" i="2" s="1"/>
  <c r="BV555" i="2" s="1"/>
  <c r="Z555" i="2"/>
  <c r="O560" i="2"/>
  <c r="X561" i="2"/>
  <c r="U561" i="2"/>
  <c r="AZ565" i="2"/>
  <c r="L565" i="2"/>
  <c r="W567" i="2"/>
  <c r="BU568" i="2"/>
  <c r="BO577" i="2"/>
  <c r="W592" i="2"/>
  <c r="BR592" i="2" s="1"/>
  <c r="BO592" i="2"/>
  <c r="BP592" i="2" s="1"/>
  <c r="Z592" i="2"/>
  <c r="BN625" i="2"/>
  <c r="BU640" i="2"/>
  <c r="U427" i="2"/>
  <c r="BQ427" i="2" s="1"/>
  <c r="BS427" i="2" s="1"/>
  <c r="BV427" i="2" s="1"/>
  <c r="BW427" i="2" s="1"/>
  <c r="U431" i="2"/>
  <c r="BQ431" i="2" s="1"/>
  <c r="BS431" i="2" s="1"/>
  <c r="BV431" i="2" s="1"/>
  <c r="BW431" i="2" s="1"/>
  <c r="U441" i="2"/>
  <c r="BQ441" i="2" s="1"/>
  <c r="BS441" i="2" s="1"/>
  <c r="BV441" i="2" s="1"/>
  <c r="BW441" i="2" s="1"/>
  <c r="U445" i="2"/>
  <c r="BQ445" i="2" s="1"/>
  <c r="BS445" i="2" s="1"/>
  <c r="BV445" i="2" s="1"/>
  <c r="BW445" i="2" s="1"/>
  <c r="U449" i="2"/>
  <c r="BQ449" i="2" s="1"/>
  <c r="BS449" i="2" s="1"/>
  <c r="BV449" i="2" s="1"/>
  <c r="BW449" i="2" s="1"/>
  <c r="BO454" i="2"/>
  <c r="BP454" i="2" s="1"/>
  <c r="U455" i="2"/>
  <c r="BQ455" i="2" s="1"/>
  <c r="BS455" i="2" s="1"/>
  <c r="BV455" i="2" s="1"/>
  <c r="AO460" i="2"/>
  <c r="AO809" i="2" s="1"/>
  <c r="BO468" i="2"/>
  <c r="BP468" i="2" s="1"/>
  <c r="U469" i="2"/>
  <c r="BQ469" i="2" s="1"/>
  <c r="BS469" i="2" s="1"/>
  <c r="BV469" i="2" s="1"/>
  <c r="Q471" i="2"/>
  <c r="Z471" i="2" s="1"/>
  <c r="W473" i="2"/>
  <c r="BR473" i="2" s="1"/>
  <c r="U474" i="2"/>
  <c r="BQ474" i="2" s="1"/>
  <c r="BS474" i="2" s="1"/>
  <c r="BV474" i="2" s="1"/>
  <c r="I479" i="2"/>
  <c r="G481" i="2"/>
  <c r="I482" i="2"/>
  <c r="BN482" i="2"/>
  <c r="Q491" i="2"/>
  <c r="J497" i="2"/>
  <c r="I502" i="2"/>
  <c r="G501" i="2"/>
  <c r="BO502" i="2"/>
  <c r="U505" i="2"/>
  <c r="BQ505" i="2" s="1"/>
  <c r="I507" i="2"/>
  <c r="U511" i="2"/>
  <c r="BQ511" i="2" s="1"/>
  <c r="BS511" i="2" s="1"/>
  <c r="BV511" i="2" s="1"/>
  <c r="BW511" i="2" s="1"/>
  <c r="I516" i="2"/>
  <c r="U519" i="2"/>
  <c r="BN521" i="2"/>
  <c r="BP521" i="2" s="1"/>
  <c r="BR525" i="2"/>
  <c r="BR524" i="2" s="1"/>
  <c r="W524" i="2"/>
  <c r="X525" i="2"/>
  <c r="AG530" i="2"/>
  <c r="AM531" i="2"/>
  <c r="AM530" i="2" s="1"/>
  <c r="AS530" i="2"/>
  <c r="BE530" i="2"/>
  <c r="BE529" i="2" s="1"/>
  <c r="BN533" i="2"/>
  <c r="X533" i="2"/>
  <c r="O532" i="2"/>
  <c r="U533" i="2"/>
  <c r="W535" i="2"/>
  <c r="V535" i="2"/>
  <c r="BT536" i="2"/>
  <c r="BT535" i="2" s="1"/>
  <c r="BO535" i="2"/>
  <c r="O539" i="2"/>
  <c r="X540" i="2"/>
  <c r="BN540" i="2"/>
  <c r="U540" i="2"/>
  <c r="AU530" i="2"/>
  <c r="F543" i="2"/>
  <c r="S544" i="2"/>
  <c r="S543" i="2" s="1"/>
  <c r="V545" i="2"/>
  <c r="BS546" i="2"/>
  <c r="BV546" i="2" s="1"/>
  <c r="Z548" i="2"/>
  <c r="W552" i="2"/>
  <c r="BP555" i="2"/>
  <c r="I562" i="2"/>
  <c r="J562" i="2"/>
  <c r="BD565" i="2"/>
  <c r="V568" i="2"/>
  <c r="S567" i="2"/>
  <c r="BS584" i="2"/>
  <c r="BV584" i="2" s="1"/>
  <c r="BW584" i="2" s="1"/>
  <c r="V580" i="2"/>
  <c r="BO596" i="2"/>
  <c r="BO599" i="2"/>
  <c r="W599" i="2"/>
  <c r="BR599" i="2" s="1"/>
  <c r="Z599" i="2"/>
  <c r="BU602" i="2"/>
  <c r="U456" i="2"/>
  <c r="BQ456" i="2" s="1"/>
  <c r="BS456" i="2" s="1"/>
  <c r="BV456" i="2" s="1"/>
  <c r="U463" i="2"/>
  <c r="U475" i="2"/>
  <c r="BQ475" i="2" s="1"/>
  <c r="BS475" i="2" s="1"/>
  <c r="BV475" i="2" s="1"/>
  <c r="Z492" i="2"/>
  <c r="BO492" i="2"/>
  <c r="BP492" i="2" s="1"/>
  <c r="U494" i="2"/>
  <c r="BQ494" i="2" s="1"/>
  <c r="BS494" i="2" s="1"/>
  <c r="BV494" i="2" s="1"/>
  <c r="S501" i="2"/>
  <c r="W505" i="2"/>
  <c r="BR505" i="2" s="1"/>
  <c r="W511" i="2"/>
  <c r="BR511" i="2" s="1"/>
  <c r="Z513" i="2"/>
  <c r="BO513" i="2"/>
  <c r="BP513" i="2" s="1"/>
  <c r="J516" i="2"/>
  <c r="P516" i="2"/>
  <c r="BP520" i="2"/>
  <c r="BR527" i="2"/>
  <c r="BR526" i="2" s="1"/>
  <c r="W526" i="2"/>
  <c r="BG530" i="2"/>
  <c r="N531" i="2"/>
  <c r="N530" i="2" s="1"/>
  <c r="BW538" i="2"/>
  <c r="Q544" i="2"/>
  <c r="T543" i="2"/>
  <c r="T530" i="2" s="1"/>
  <c r="BO547" i="2"/>
  <c r="BO544" i="2" s="1"/>
  <c r="BO543" i="2" s="1"/>
  <c r="BU548" i="2"/>
  <c r="BW548" i="2"/>
  <c r="BO552" i="2"/>
  <c r="BP558" i="2"/>
  <c r="BR562" i="2"/>
  <c r="BR560" i="2" s="1"/>
  <c r="W560" i="2"/>
  <c r="BR564" i="2"/>
  <c r="BR563" i="2" s="1"/>
  <c r="W563" i="2"/>
  <c r="J568" i="2"/>
  <c r="G567" i="2"/>
  <c r="I568" i="2"/>
  <c r="BP573" i="2"/>
  <c r="R580" i="2"/>
  <c r="E581" i="2"/>
  <c r="E580" i="2" s="1"/>
  <c r="E565" i="2" s="1"/>
  <c r="G582" i="2"/>
  <c r="BP504" i="2"/>
  <c r="BP510" i="2"/>
  <c r="J517" i="2"/>
  <c r="I517" i="2"/>
  <c r="BS520" i="2"/>
  <c r="BO520" i="2"/>
  <c r="BO519" i="2" s="1"/>
  <c r="BN525" i="2"/>
  <c r="F530" i="2"/>
  <c r="AA530" i="2"/>
  <c r="Q532" i="2"/>
  <c r="BO533" i="2"/>
  <c r="BO532" i="2" s="1"/>
  <c r="BO531" i="2" s="1"/>
  <c r="Z533" i="2"/>
  <c r="W533" i="2"/>
  <c r="BN536" i="2"/>
  <c r="O535" i="2"/>
  <c r="X535" i="2" s="1"/>
  <c r="U536" i="2"/>
  <c r="I537" i="2"/>
  <c r="J537" i="2"/>
  <c r="BT542" i="2"/>
  <c r="BT541" i="2" s="1"/>
  <c r="V541" i="2"/>
  <c r="BP547" i="2"/>
  <c r="U547" i="2"/>
  <c r="BQ547" i="2" s="1"/>
  <c r="BS547" i="2" s="1"/>
  <c r="BV547" i="2" s="1"/>
  <c r="BR552" i="2"/>
  <c r="I555" i="2"/>
  <c r="J555" i="2"/>
  <c r="BN556" i="2"/>
  <c r="BN561" i="2"/>
  <c r="F565" i="2"/>
  <c r="O567" i="2"/>
  <c r="X568" i="2"/>
  <c r="U568" i="2"/>
  <c r="Z571" i="2"/>
  <c r="Q570" i="2"/>
  <c r="W571" i="2"/>
  <c r="BW576" i="2"/>
  <c r="BU576" i="2"/>
  <c r="BT581" i="2"/>
  <c r="I594" i="2"/>
  <c r="G593" i="2"/>
  <c r="J594" i="2"/>
  <c r="U493" i="2"/>
  <c r="BO495" i="2"/>
  <c r="BP495" i="2" s="1"/>
  <c r="U500" i="2"/>
  <c r="BQ500" i="2" s="1"/>
  <c r="BS500" i="2" s="1"/>
  <c r="BV500" i="2" s="1"/>
  <c r="BW500" i="2" s="1"/>
  <c r="U502" i="2"/>
  <c r="U508" i="2"/>
  <c r="BQ508" i="2" s="1"/>
  <c r="BS508" i="2" s="1"/>
  <c r="BV508" i="2" s="1"/>
  <c r="U514" i="2"/>
  <c r="BQ514" i="2" s="1"/>
  <c r="BS514" i="2" s="1"/>
  <c r="BV514" i="2" s="1"/>
  <c r="BW514" i="2" s="1"/>
  <c r="T224" i="3"/>
  <c r="R224" i="3" s="1"/>
  <c r="R223" i="3" s="1"/>
  <c r="S145" i="3"/>
  <c r="U518" i="2"/>
  <c r="BQ518" i="2" s="1"/>
  <c r="BS518" i="2" s="1"/>
  <c r="BV518" i="2" s="1"/>
  <c r="BW518" i="2" s="1"/>
  <c r="G519" i="2"/>
  <c r="G532" i="2"/>
  <c r="AB531" i="2"/>
  <c r="AB530" i="2" s="1"/>
  <c r="AH531" i="2"/>
  <c r="AH530" i="2" s="1"/>
  <c r="AN531" i="2"/>
  <c r="AN530" i="2" s="1"/>
  <c r="AN529" i="2" s="1"/>
  <c r="AT531" i="2"/>
  <c r="AT530" i="2" s="1"/>
  <c r="AZ531" i="2"/>
  <c r="AZ530" i="2" s="1"/>
  <c r="AZ529" i="2" s="1"/>
  <c r="BF531" i="2"/>
  <c r="BF530" i="2" s="1"/>
  <c r="BL531" i="2"/>
  <c r="BL530" i="2" s="1"/>
  <c r="P535" i="2"/>
  <c r="Y535" i="2" s="1"/>
  <c r="P539" i="2"/>
  <c r="Y539" i="2" s="1"/>
  <c r="S541" i="2"/>
  <c r="O544" i="2"/>
  <c r="X548" i="2"/>
  <c r="J550" i="2"/>
  <c r="V556" i="2"/>
  <c r="T559" i="2"/>
  <c r="BI565" i="2"/>
  <c r="BO567" i="2"/>
  <c r="R570" i="2"/>
  <c r="U572" i="2"/>
  <c r="BQ572" i="2" s="1"/>
  <c r="S577" i="2"/>
  <c r="V578" i="2"/>
  <c r="S581" i="2"/>
  <c r="BN581" i="2"/>
  <c r="BP583" i="2"/>
  <c r="Y584" i="2"/>
  <c r="P581" i="2"/>
  <c r="BQ590" i="2"/>
  <c r="BT595" i="2"/>
  <c r="BT593" i="2" s="1"/>
  <c r="V593" i="2"/>
  <c r="I598" i="2"/>
  <c r="G596" i="2"/>
  <c r="J598" i="2"/>
  <c r="BP603" i="2"/>
  <c r="N605" i="2"/>
  <c r="N565" i="2" s="1"/>
  <c r="J608" i="2"/>
  <c r="BN608" i="2"/>
  <c r="BP608" i="2" s="1"/>
  <c r="X608" i="2"/>
  <c r="U608" i="2"/>
  <c r="BQ608" i="2" s="1"/>
  <c r="BS608" i="2" s="1"/>
  <c r="BV608" i="2" s="1"/>
  <c r="BW617" i="2"/>
  <c r="BU680" i="2"/>
  <c r="BW680" i="2"/>
  <c r="R543" i="2"/>
  <c r="BO557" i="2"/>
  <c r="BO556" i="2" s="1"/>
  <c r="Q556" i="2"/>
  <c r="Z556" i="2" s="1"/>
  <c r="BO564" i="2"/>
  <c r="BO563" i="2" s="1"/>
  <c r="BO559" i="2" s="1"/>
  <c r="Q563" i="2"/>
  <c r="Z563" i="2" s="1"/>
  <c r="AO565" i="2"/>
  <c r="AO529" i="2" s="1"/>
  <c r="AA566" i="2"/>
  <c r="AA565" i="2" s="1"/>
  <c r="AG566" i="2"/>
  <c r="AG565" i="2" s="1"/>
  <c r="AM566" i="2"/>
  <c r="AS566" i="2"/>
  <c r="AS565" i="2" s="1"/>
  <c r="AY566" i="2"/>
  <c r="AY565" i="2" s="1"/>
  <c r="BE566" i="2"/>
  <c r="BE565" i="2" s="1"/>
  <c r="BK566" i="2"/>
  <c r="BK565" i="2" s="1"/>
  <c r="BK529" i="2" s="1"/>
  <c r="BR567" i="2"/>
  <c r="G570" i="2"/>
  <c r="J571" i="2"/>
  <c r="I571" i="2"/>
  <c r="T570" i="2"/>
  <c r="U573" i="2"/>
  <c r="BQ573" i="2" s="1"/>
  <c r="BS573" i="2" s="1"/>
  <c r="BV573" i="2" s="1"/>
  <c r="BO575" i="2"/>
  <c r="BP575" i="2" s="1"/>
  <c r="Z575" i="2"/>
  <c r="BP578" i="2"/>
  <c r="J590" i="2"/>
  <c r="I590" i="2"/>
  <c r="BR591" i="2"/>
  <c r="BR590" i="2" s="1"/>
  <c r="W590" i="2"/>
  <c r="V596" i="2"/>
  <c r="BT597" i="2"/>
  <c r="BT596" i="2" s="1"/>
  <c r="BS601" i="2"/>
  <c r="BV601" i="2" s="1"/>
  <c r="I604" i="2"/>
  <c r="J604" i="2"/>
  <c r="AD605" i="2"/>
  <c r="AD565" i="2" s="1"/>
  <c r="AD529" i="2" s="1"/>
  <c r="AJ605" i="2"/>
  <c r="AJ565" i="2" s="1"/>
  <c r="P531" i="2"/>
  <c r="J536" i="2"/>
  <c r="G535" i="2"/>
  <c r="S535" i="2"/>
  <c r="S531" i="2" s="1"/>
  <c r="S530" i="2" s="1"/>
  <c r="J542" i="2"/>
  <c r="L543" i="2"/>
  <c r="Z549" i="2"/>
  <c r="Y553" i="2"/>
  <c r="Z557" i="2"/>
  <c r="Z564" i="2"/>
  <c r="BC565" i="2"/>
  <c r="H566" i="2"/>
  <c r="H565" i="2" s="1"/>
  <c r="R566" i="2"/>
  <c r="BO569" i="2"/>
  <c r="BP569" i="2" s="1"/>
  <c r="Z569" i="2"/>
  <c r="S570" i="2"/>
  <c r="V574" i="2"/>
  <c r="BT574" i="2" s="1"/>
  <c r="BT570" i="2" s="1"/>
  <c r="BP579" i="2"/>
  <c r="BP582" i="2"/>
  <c r="X585" i="2"/>
  <c r="BN585" i="2"/>
  <c r="BP585" i="2" s="1"/>
  <c r="U585" i="2"/>
  <c r="BQ585" i="2" s="1"/>
  <c r="BS585" i="2" s="1"/>
  <c r="BV585" i="2" s="1"/>
  <c r="BQ589" i="2"/>
  <c r="U588" i="2"/>
  <c r="V606" i="2"/>
  <c r="BT607" i="2"/>
  <c r="BT606" i="2" s="1"/>
  <c r="X616" i="2"/>
  <c r="BN616" i="2"/>
  <c r="O615" i="2"/>
  <c r="X615" i="2" s="1"/>
  <c r="U616" i="2"/>
  <c r="J616" i="2"/>
  <c r="Z619" i="2"/>
  <c r="Q618" i="2"/>
  <c r="Z618" i="2" s="1"/>
  <c r="Y619" i="2"/>
  <c r="P618" i="2"/>
  <c r="Y618" i="2" s="1"/>
  <c r="BU621" i="2"/>
  <c r="BN646" i="2"/>
  <c r="BP646" i="2" s="1"/>
  <c r="U646" i="2"/>
  <c r="BQ646" i="2" s="1"/>
  <c r="X646" i="2"/>
  <c r="U506" i="2"/>
  <c r="BQ506" i="2" s="1"/>
  <c r="BS506" i="2" s="1"/>
  <c r="BV506" i="2" s="1"/>
  <c r="BW506" i="2" s="1"/>
  <c r="U512" i="2"/>
  <c r="BQ512" i="2" s="1"/>
  <c r="BS512" i="2" s="1"/>
  <c r="BV512" i="2" s="1"/>
  <c r="BW512" i="2" s="1"/>
  <c r="Y532" i="2"/>
  <c r="J533" i="2"/>
  <c r="I536" i="2"/>
  <c r="I542" i="2"/>
  <c r="P544" i="2"/>
  <c r="J547" i="2"/>
  <c r="V551" i="2"/>
  <c r="Z562" i="2"/>
  <c r="G563" i="2"/>
  <c r="I564" i="2"/>
  <c r="T566" i="2"/>
  <c r="O570" i="2"/>
  <c r="X570" i="2" s="1"/>
  <c r="AC580" i="2"/>
  <c r="AC565" i="2" s="1"/>
  <c r="AC529" i="2" s="1"/>
  <c r="AU580" i="2"/>
  <c r="BA580" i="2"/>
  <c r="BA565" i="2" s="1"/>
  <c r="BM580" i="2"/>
  <c r="BM565" i="2" s="1"/>
  <c r="X583" i="2"/>
  <c r="O581" i="2"/>
  <c r="U583" i="2"/>
  <c r="BQ583" i="2" s="1"/>
  <c r="I587" i="2"/>
  <c r="U590" i="2"/>
  <c r="BP597" i="2"/>
  <c r="BP599" i="2"/>
  <c r="P606" i="2"/>
  <c r="Y607" i="2"/>
  <c r="BO611" i="2"/>
  <c r="BP611" i="2" s="1"/>
  <c r="Z611" i="2"/>
  <c r="W611" i="2"/>
  <c r="BR611" i="2" s="1"/>
  <c r="I609" i="2"/>
  <c r="J609" i="2"/>
  <c r="BU638" i="2"/>
  <c r="BU647" i="2"/>
  <c r="BU652" i="2"/>
  <c r="X661" i="2"/>
  <c r="BN661" i="2"/>
  <c r="U661" i="2"/>
  <c r="BQ661" i="2" s="1"/>
  <c r="U534" i="2"/>
  <c r="BQ534" i="2" s="1"/>
  <c r="BS534" i="2" s="1"/>
  <c r="BV534" i="2" s="1"/>
  <c r="BN534" i="2"/>
  <c r="BP534" i="2" s="1"/>
  <c r="U545" i="2"/>
  <c r="BN545" i="2"/>
  <c r="U549" i="2"/>
  <c r="BQ549" i="2" s="1"/>
  <c r="BS549" i="2" s="1"/>
  <c r="BV549" i="2" s="1"/>
  <c r="BN549" i="2"/>
  <c r="BP549" i="2" s="1"/>
  <c r="U551" i="2"/>
  <c r="BN551" i="2"/>
  <c r="U553" i="2"/>
  <c r="BN553" i="2"/>
  <c r="W572" i="2"/>
  <c r="BR572" i="2" s="1"/>
  <c r="BO573" i="2"/>
  <c r="BO570" i="2" s="1"/>
  <c r="U574" i="2"/>
  <c r="BQ574" i="2" s="1"/>
  <c r="BS574" i="2" s="1"/>
  <c r="BV574" i="2" s="1"/>
  <c r="BN574" i="2"/>
  <c r="BP574" i="2" s="1"/>
  <c r="P577" i="2"/>
  <c r="Y577" i="2" s="1"/>
  <c r="BU584" i="2"/>
  <c r="W585" i="2"/>
  <c r="BR585" i="2" s="1"/>
  <c r="BP586" i="2"/>
  <c r="S588" i="2"/>
  <c r="Z589" i="2"/>
  <c r="BO589" i="2"/>
  <c r="BO588" i="2" s="1"/>
  <c r="X589" i="2"/>
  <c r="BN591" i="2"/>
  <c r="P593" i="2"/>
  <c r="Y593" i="2" s="1"/>
  <c r="J595" i="2"/>
  <c r="BN595" i="2"/>
  <c r="S596" i="2"/>
  <c r="U597" i="2"/>
  <c r="BU600" i="2"/>
  <c r="Z601" i="2"/>
  <c r="BO601" i="2"/>
  <c r="X601" i="2"/>
  <c r="W602" i="2"/>
  <c r="BR602" i="2" s="1"/>
  <c r="U603" i="2"/>
  <c r="BQ603" i="2" s="1"/>
  <c r="BS603" i="2" s="1"/>
  <c r="BV603" i="2" s="1"/>
  <c r="AC605" i="2"/>
  <c r="AI605" i="2"/>
  <c r="AI565" i="2" s="1"/>
  <c r="AO605" i="2"/>
  <c r="AU605" i="2"/>
  <c r="AU565" i="2" s="1"/>
  <c r="BA605" i="2"/>
  <c r="BG605" i="2"/>
  <c r="BG565" i="2" s="1"/>
  <c r="BM605" i="2"/>
  <c r="W607" i="2"/>
  <c r="U613" i="2"/>
  <c r="BQ613" i="2" s="1"/>
  <c r="BS613" i="2" s="1"/>
  <c r="BV613" i="2" s="1"/>
  <c r="R616" i="2"/>
  <c r="R615" i="2" s="1"/>
  <c r="R605" i="2" s="1"/>
  <c r="AM615" i="2"/>
  <c r="J625" i="2"/>
  <c r="I625" i="2"/>
  <c r="G624" i="2"/>
  <c r="X628" i="2"/>
  <c r="O627" i="2"/>
  <c r="X627" i="2" s="1"/>
  <c r="U628" i="2"/>
  <c r="BW629" i="2"/>
  <c r="BU629" i="2"/>
  <c r="AA631" i="2"/>
  <c r="BU650" i="2"/>
  <c r="BP653" i="2"/>
  <c r="BW666" i="2"/>
  <c r="BU666" i="2"/>
  <c r="BU667" i="2"/>
  <c r="BP670" i="2"/>
  <c r="J672" i="2"/>
  <c r="I672" i="2"/>
  <c r="T581" i="2"/>
  <c r="T580" i="2" s="1"/>
  <c r="W583" i="2"/>
  <c r="BR583" i="2" s="1"/>
  <c r="BO595" i="2"/>
  <c r="BO593" i="2" s="1"/>
  <c r="P596" i="2"/>
  <c r="Y596" i="2" s="1"/>
  <c r="U598" i="2"/>
  <c r="BQ598" i="2" s="1"/>
  <c r="BS598" i="2" s="1"/>
  <c r="BV598" i="2" s="1"/>
  <c r="BW598" i="2" s="1"/>
  <c r="U604" i="2"/>
  <c r="BQ604" i="2" s="1"/>
  <c r="BS604" i="2" s="1"/>
  <c r="BV604" i="2" s="1"/>
  <c r="BW604" i="2" s="1"/>
  <c r="BR610" i="2"/>
  <c r="BR609" i="2" s="1"/>
  <c r="P615" i="2"/>
  <c r="Y615" i="2" s="1"/>
  <c r="Y617" i="2"/>
  <c r="BO620" i="2"/>
  <c r="BO619" i="2" s="1"/>
  <c r="BO618" i="2" s="1"/>
  <c r="Z620" i="2"/>
  <c r="G632" i="2"/>
  <c r="I633" i="2"/>
  <c r="BR636" i="2"/>
  <c r="BR635" i="2" s="1"/>
  <c r="W635" i="2"/>
  <c r="S205" i="3"/>
  <c r="R205" i="3" s="1"/>
  <c r="G638" i="2"/>
  <c r="E637" i="2"/>
  <c r="E631" i="2" s="1"/>
  <c r="BO658" i="2"/>
  <c r="BP658" i="2" s="1"/>
  <c r="W658" i="2"/>
  <c r="BR658" i="2" s="1"/>
  <c r="Z658" i="2"/>
  <c r="BU668" i="2"/>
  <c r="BW668" i="2"/>
  <c r="U557" i="2"/>
  <c r="U558" i="2"/>
  <c r="BQ558" i="2" s="1"/>
  <c r="BS558" i="2" s="1"/>
  <c r="BV558" i="2" s="1"/>
  <c r="U204" i="3"/>
  <c r="U562" i="2"/>
  <c r="BQ562" i="2" s="1"/>
  <c r="BS562" i="2" s="1"/>
  <c r="BV562" i="2" s="1"/>
  <c r="BW562" i="2" s="1"/>
  <c r="U564" i="2"/>
  <c r="U569" i="2"/>
  <c r="BQ569" i="2" s="1"/>
  <c r="BS569" i="2" s="1"/>
  <c r="BV569" i="2" s="1"/>
  <c r="U571" i="2"/>
  <c r="I572" i="2"/>
  <c r="U575" i="2"/>
  <c r="BQ575" i="2" s="1"/>
  <c r="BS575" i="2" s="1"/>
  <c r="BV575" i="2" s="1"/>
  <c r="J579" i="2"/>
  <c r="J584" i="2"/>
  <c r="Z585" i="2"/>
  <c r="Z587" i="2"/>
  <c r="BO587" i="2"/>
  <c r="BP587" i="2" s="1"/>
  <c r="BN589" i="2"/>
  <c r="P590" i="2"/>
  <c r="Y590" i="2" s="1"/>
  <c r="J592" i="2"/>
  <c r="BR594" i="2"/>
  <c r="BR593" i="2" s="1"/>
  <c r="U595" i="2"/>
  <c r="BQ595" i="2" s="1"/>
  <c r="W597" i="2"/>
  <c r="I600" i="2"/>
  <c r="J601" i="2"/>
  <c r="BN601" i="2"/>
  <c r="BP601" i="2" s="1"/>
  <c r="Z602" i="2"/>
  <c r="W603" i="2"/>
  <c r="BR603" i="2" s="1"/>
  <c r="O606" i="2"/>
  <c r="J607" i="2"/>
  <c r="BN607" i="2"/>
  <c r="J612" i="2"/>
  <c r="I612" i="2"/>
  <c r="Z613" i="2"/>
  <c r="BO613" i="2"/>
  <c r="V616" i="2"/>
  <c r="S615" i="2"/>
  <c r="J622" i="2"/>
  <c r="I622" i="2"/>
  <c r="BJ631" i="2"/>
  <c r="Q635" i="2"/>
  <c r="BO636" i="2"/>
  <c r="BO635" i="2" s="1"/>
  <c r="Z636" i="2"/>
  <c r="R645" i="2"/>
  <c r="AP637" i="2"/>
  <c r="AP807" i="2" s="1"/>
  <c r="O645" i="2"/>
  <c r="I671" i="2"/>
  <c r="J671" i="2"/>
  <c r="BU673" i="2"/>
  <c r="BW673" i="2"/>
  <c r="BU687" i="2"/>
  <c r="H559" i="2"/>
  <c r="S144" i="3" s="1"/>
  <c r="S149" i="3" s="1"/>
  <c r="U576" i="2"/>
  <c r="BQ576" i="2" s="1"/>
  <c r="BS576" i="2" s="1"/>
  <c r="BV576" i="2" s="1"/>
  <c r="AE580" i="2"/>
  <c r="AE565" i="2" s="1"/>
  <c r="AK580" i="2"/>
  <c r="AK565" i="2" s="1"/>
  <c r="AQ580" i="2"/>
  <c r="AQ565" i="2" s="1"/>
  <c r="AQ529" i="2" s="1"/>
  <c r="AW580" i="2"/>
  <c r="AW565" i="2" s="1"/>
  <c r="AW529" i="2" s="1"/>
  <c r="BC580" i="2"/>
  <c r="BI580" i="2"/>
  <c r="J583" i="2"/>
  <c r="O588" i="2"/>
  <c r="X588" i="2" s="1"/>
  <c r="I589" i="2"/>
  <c r="Q590" i="2"/>
  <c r="Z590" i="2" s="1"/>
  <c r="Q593" i="2"/>
  <c r="Z593" i="2" s="1"/>
  <c r="R596" i="2"/>
  <c r="Y597" i="2"/>
  <c r="U599" i="2"/>
  <c r="BQ599" i="2" s="1"/>
  <c r="BS599" i="2" s="1"/>
  <c r="BV599" i="2" s="1"/>
  <c r="I601" i="2"/>
  <c r="I606" i="2"/>
  <c r="Q606" i="2"/>
  <c r="BO607" i="2"/>
  <c r="BO606" i="2" s="1"/>
  <c r="BO605" i="2" s="1"/>
  <c r="S609" i="2"/>
  <c r="S605" i="2" s="1"/>
  <c r="BP612" i="2"/>
  <c r="BN613" i="2"/>
  <c r="BP614" i="2"/>
  <c r="V620" i="2"/>
  <c r="S619" i="2"/>
  <c r="S618" i="2" s="1"/>
  <c r="BS622" i="2"/>
  <c r="BV622" i="2" s="1"/>
  <c r="BW622" i="2" s="1"/>
  <c r="BW623" i="2"/>
  <c r="BU623" i="2"/>
  <c r="BT628" i="2"/>
  <c r="BT627" i="2" s="1"/>
  <c r="BT624" i="2" s="1"/>
  <c r="R633" i="2"/>
  <c r="U634" i="2"/>
  <c r="BQ634" i="2" s="1"/>
  <c r="BS634" i="2" s="1"/>
  <c r="BV634" i="2" s="1"/>
  <c r="BQ636" i="2"/>
  <c r="K637" i="2"/>
  <c r="K807" i="2" s="1"/>
  <c r="R644" i="2"/>
  <c r="O644" i="2"/>
  <c r="U644" i="2" s="1"/>
  <c r="BQ644" i="2" s="1"/>
  <c r="BS644" i="2" s="1"/>
  <c r="BV644" i="2" s="1"/>
  <c r="J648" i="2"/>
  <c r="I648" i="2"/>
  <c r="BU649" i="2"/>
  <c r="BW649" i="2"/>
  <c r="BS662" i="2"/>
  <c r="BV662" i="2" s="1"/>
  <c r="X663" i="2"/>
  <c r="BN663" i="2"/>
  <c r="BP663" i="2" s="1"/>
  <c r="U663" i="2"/>
  <c r="BQ663" i="2" s="1"/>
  <c r="BS663" i="2" s="1"/>
  <c r="BV663" i="2" s="1"/>
  <c r="J668" i="2"/>
  <c r="I668" i="2"/>
  <c r="I673" i="2"/>
  <c r="J673" i="2"/>
  <c r="Z591" i="2"/>
  <c r="BO591" i="2"/>
  <c r="BO590" i="2" s="1"/>
  <c r="W595" i="2"/>
  <c r="BR595" i="2" s="1"/>
  <c r="AM605" i="2"/>
  <c r="U607" i="2"/>
  <c r="X619" i="2"/>
  <c r="O618" i="2"/>
  <c r="X618" i="2" s="1"/>
  <c r="BS621" i="2"/>
  <c r="BV621" i="2" s="1"/>
  <c r="BW621" i="2" s="1"/>
  <c r="BU622" i="2"/>
  <c r="M624" i="2"/>
  <c r="M565" i="2" s="1"/>
  <c r="X626" i="2"/>
  <c r="O625" i="2"/>
  <c r="U626" i="2"/>
  <c r="J627" i="2"/>
  <c r="I627" i="2"/>
  <c r="AT631" i="2"/>
  <c r="BF631" i="2"/>
  <c r="BL631" i="2"/>
  <c r="W633" i="2"/>
  <c r="BO633" i="2"/>
  <c r="Z633" i="2"/>
  <c r="R634" i="2"/>
  <c r="O634" i="2"/>
  <c r="BU639" i="2"/>
  <c r="S639" i="2"/>
  <c r="V639" i="2" s="1"/>
  <c r="P639" i="2"/>
  <c r="AH637" i="2"/>
  <c r="AH807" i="2" s="1"/>
  <c r="AH804" i="2" s="1"/>
  <c r="BU641" i="2"/>
  <c r="R643" i="2"/>
  <c r="R637" i="2" s="1"/>
  <c r="O643" i="2"/>
  <c r="BW655" i="2"/>
  <c r="BU655" i="2"/>
  <c r="BP664" i="2"/>
  <c r="BU679" i="2"/>
  <c r="BW679" i="2"/>
  <c r="U685" i="2"/>
  <c r="BQ685" i="2" s="1"/>
  <c r="U578" i="2"/>
  <c r="U579" i="2"/>
  <c r="BQ579" i="2" s="1"/>
  <c r="U582" i="2"/>
  <c r="Q795" i="2"/>
  <c r="U592" i="2"/>
  <c r="BQ592" i="2" s="1"/>
  <c r="BS592" i="2" s="1"/>
  <c r="BV592" i="2" s="1"/>
  <c r="U594" i="2"/>
  <c r="U602" i="2"/>
  <c r="BQ602" i="2" s="1"/>
  <c r="BS602" i="2" s="1"/>
  <c r="BV602" i="2" s="1"/>
  <c r="BW602" i="2" s="1"/>
  <c r="Q609" i="2"/>
  <c r="Z609" i="2" s="1"/>
  <c r="X611" i="2"/>
  <c r="U614" i="2"/>
  <c r="BQ614" i="2" s="1"/>
  <c r="BS614" i="2" s="1"/>
  <c r="BV614" i="2" s="1"/>
  <c r="G615" i="2"/>
  <c r="Z616" i="2"/>
  <c r="X620" i="2"/>
  <c r="U623" i="2"/>
  <c r="BQ623" i="2" s="1"/>
  <c r="BS623" i="2" s="1"/>
  <c r="BV623" i="2" s="1"/>
  <c r="BO626" i="2"/>
  <c r="BO625" i="2" s="1"/>
  <c r="BO624" i="2" s="1"/>
  <c r="BO628" i="2"/>
  <c r="BO627" i="2" s="1"/>
  <c r="U629" i="2"/>
  <c r="BQ629" i="2" s="1"/>
  <c r="BS629" i="2" s="1"/>
  <c r="BV629" i="2" s="1"/>
  <c r="Z630" i="2"/>
  <c r="K632" i="2"/>
  <c r="X636" i="2"/>
  <c r="U639" i="2"/>
  <c r="BQ639" i="2" s="1"/>
  <c r="W640" i="2"/>
  <c r="BR640" i="2" s="1"/>
  <c r="BO642" i="2"/>
  <c r="BP642" i="2" s="1"/>
  <c r="BO645" i="2"/>
  <c r="W646" i="2"/>
  <c r="BR646" i="2" s="1"/>
  <c r="W647" i="2"/>
  <c r="BR647" i="2" s="1"/>
  <c r="BN654" i="2"/>
  <c r="BP654" i="2" s="1"/>
  <c r="U656" i="2"/>
  <c r="BQ656" i="2" s="1"/>
  <c r="BS656" i="2" s="1"/>
  <c r="BV656" i="2" s="1"/>
  <c r="BN657" i="2"/>
  <c r="BP657" i="2" s="1"/>
  <c r="W664" i="2"/>
  <c r="BR664" i="2" s="1"/>
  <c r="Z665" i="2"/>
  <c r="BO665" i="2"/>
  <c r="U675" i="2"/>
  <c r="BQ675" i="2" s="1"/>
  <c r="BS675" i="2" s="1"/>
  <c r="BV675" i="2" s="1"/>
  <c r="BW675" i="2" s="1"/>
  <c r="BO676" i="2"/>
  <c r="BP676" i="2" s="1"/>
  <c r="Z676" i="2"/>
  <c r="Z677" i="2"/>
  <c r="I679" i="2"/>
  <c r="J679" i="2"/>
  <c r="U686" i="2"/>
  <c r="BQ686" i="2" s="1"/>
  <c r="BS686" i="2" s="1"/>
  <c r="BV686" i="2" s="1"/>
  <c r="V698" i="2"/>
  <c r="W626" i="2"/>
  <c r="W628" i="2"/>
  <c r="U630" i="2"/>
  <c r="BQ630" i="2" s="1"/>
  <c r="BS630" i="2" s="1"/>
  <c r="BV630" i="2" s="1"/>
  <c r="BN630" i="2"/>
  <c r="BP630" i="2" s="1"/>
  <c r="BU648" i="2"/>
  <c r="U651" i="2"/>
  <c r="BQ651" i="2" s="1"/>
  <c r="BS651" i="2" s="1"/>
  <c r="BV651" i="2" s="1"/>
  <c r="BN651" i="2"/>
  <c r="BP651" i="2" s="1"/>
  <c r="Z659" i="2"/>
  <c r="W661" i="2"/>
  <c r="BR661" i="2" s="1"/>
  <c r="BP665" i="2"/>
  <c r="U667" i="2"/>
  <c r="BQ667" i="2" s="1"/>
  <c r="BS667" i="2" s="1"/>
  <c r="BV667" i="2" s="1"/>
  <c r="BW667" i="2" s="1"/>
  <c r="U670" i="2"/>
  <c r="BQ670" i="2" s="1"/>
  <c r="BS670" i="2" s="1"/>
  <c r="BV670" i="2" s="1"/>
  <c r="U672" i="2"/>
  <c r="BQ672" i="2" s="1"/>
  <c r="BS672" i="2" s="1"/>
  <c r="BV672" i="2" s="1"/>
  <c r="W685" i="2"/>
  <c r="BR685" i="2" s="1"/>
  <c r="BO685" i="2"/>
  <c r="BP685" i="2" s="1"/>
  <c r="U610" i="2"/>
  <c r="BN610" i="2"/>
  <c r="I621" i="2"/>
  <c r="P627" i="2"/>
  <c r="Y627" i="2" s="1"/>
  <c r="AG632" i="2"/>
  <c r="AG631" i="2" s="1"/>
  <c r="J636" i="2"/>
  <c r="U638" i="2"/>
  <c r="W642" i="2"/>
  <c r="BR642" i="2" s="1"/>
  <c r="BS642" i="2" s="1"/>
  <c r="BV642" i="2" s="1"/>
  <c r="W644" i="2"/>
  <c r="BR644" i="2" s="1"/>
  <c r="U648" i="2"/>
  <c r="BQ648" i="2" s="1"/>
  <c r="BS648" i="2" s="1"/>
  <c r="BV648" i="2" s="1"/>
  <c r="BW648" i="2" s="1"/>
  <c r="I650" i="2"/>
  <c r="U657" i="2"/>
  <c r="BQ657" i="2" s="1"/>
  <c r="BS657" i="2" s="1"/>
  <c r="BV657" i="2" s="1"/>
  <c r="I658" i="2"/>
  <c r="BO659" i="2"/>
  <c r="BP659" i="2" s="1"/>
  <c r="BW662" i="2"/>
  <c r="BO664" i="2"/>
  <c r="BS665" i="2"/>
  <c r="BV665" i="2" s="1"/>
  <c r="I677" i="2"/>
  <c r="U678" i="2"/>
  <c r="BQ678" i="2" s="1"/>
  <c r="BP682" i="2"/>
  <c r="U682" i="2"/>
  <c r="BQ682" i="2" s="1"/>
  <c r="BS682" i="2" s="1"/>
  <c r="BV682" i="2" s="1"/>
  <c r="W683" i="2"/>
  <c r="BR683" i="2" s="1"/>
  <c r="BO683" i="2"/>
  <c r="BP683" i="2" s="1"/>
  <c r="Z683" i="2"/>
  <c r="W686" i="2"/>
  <c r="BR686" i="2" s="1"/>
  <c r="BO686" i="2"/>
  <c r="BP686" i="2" s="1"/>
  <c r="I708" i="2"/>
  <c r="G707" i="2"/>
  <c r="J708" i="2"/>
  <c r="U611" i="2"/>
  <c r="BQ611" i="2" s="1"/>
  <c r="BS611" i="2" s="1"/>
  <c r="BV611" i="2" s="1"/>
  <c r="W616" i="2"/>
  <c r="G619" i="2"/>
  <c r="U620" i="2"/>
  <c r="Q625" i="2"/>
  <c r="I626" i="2"/>
  <c r="Q627" i="2"/>
  <c r="Z627" i="2" s="1"/>
  <c r="I628" i="2"/>
  <c r="O633" i="2"/>
  <c r="J633" i="2" s="1"/>
  <c r="I634" i="2"/>
  <c r="BO634" i="2"/>
  <c r="I635" i="2"/>
  <c r="I640" i="2"/>
  <c r="Z640" i="2"/>
  <c r="I645" i="2"/>
  <c r="I646" i="2"/>
  <c r="I652" i="2"/>
  <c r="J655" i="2"/>
  <c r="U658" i="2"/>
  <c r="BQ658" i="2" s="1"/>
  <c r="BS658" i="2" s="1"/>
  <c r="BV658" i="2" s="1"/>
  <c r="I659" i="2"/>
  <c r="BO661" i="2"/>
  <c r="I662" i="2"/>
  <c r="I663" i="2"/>
  <c r="I665" i="2"/>
  <c r="W670" i="2"/>
  <c r="BR670" i="2" s="1"/>
  <c r="W672" i="2"/>
  <c r="BR672" i="2" s="1"/>
  <c r="Z673" i="2"/>
  <c r="Z674" i="2"/>
  <c r="J676" i="2"/>
  <c r="I676" i="2"/>
  <c r="J681" i="2"/>
  <c r="I681" i="2"/>
  <c r="Z690" i="2"/>
  <c r="BO690" i="2"/>
  <c r="BP690" i="2" s="1"/>
  <c r="P693" i="2"/>
  <c r="Y693" i="2" s="1"/>
  <c r="Y694" i="2"/>
  <c r="R697" i="2"/>
  <c r="BP749" i="2"/>
  <c r="U586" i="2"/>
  <c r="BQ586" i="2" s="1"/>
  <c r="BS586" i="2" s="1"/>
  <c r="BV586" i="2" s="1"/>
  <c r="U600" i="2"/>
  <c r="BQ600" i="2" s="1"/>
  <c r="BS600" i="2" s="1"/>
  <c r="BV600" i="2" s="1"/>
  <c r="BW600" i="2" s="1"/>
  <c r="U612" i="2"/>
  <c r="BQ612" i="2" s="1"/>
  <c r="BS612" i="2" s="1"/>
  <c r="BV612" i="2" s="1"/>
  <c r="Q615" i="2"/>
  <c r="Z615" i="2" s="1"/>
  <c r="U617" i="2"/>
  <c r="BQ617" i="2" s="1"/>
  <c r="BS617" i="2" s="1"/>
  <c r="BV617" i="2" s="1"/>
  <c r="BN635" i="2"/>
  <c r="Q637" i="2"/>
  <c r="Z637" i="2" s="1"/>
  <c r="W638" i="2"/>
  <c r="W641" i="2"/>
  <c r="BR641" i="2" s="1"/>
  <c r="BS641" i="2" s="1"/>
  <c r="BV641" i="2" s="1"/>
  <c r="BW641" i="2" s="1"/>
  <c r="I644" i="2"/>
  <c r="U647" i="2"/>
  <c r="BQ647" i="2" s="1"/>
  <c r="Z649" i="2"/>
  <c r="Z653" i="2"/>
  <c r="W654" i="2"/>
  <c r="BR654" i="2" s="1"/>
  <c r="BS654" i="2" s="1"/>
  <c r="BV654" i="2" s="1"/>
  <c r="BN656" i="2"/>
  <c r="BP656" i="2" s="1"/>
  <c r="X660" i="2"/>
  <c r="W665" i="2"/>
  <c r="BR665" i="2" s="1"/>
  <c r="Z668" i="2"/>
  <c r="X670" i="2"/>
  <c r="BN672" i="2"/>
  <c r="BP672" i="2" s="1"/>
  <c r="BP674" i="2"/>
  <c r="U676" i="2"/>
  <c r="BQ676" i="2" s="1"/>
  <c r="BS676" i="2" s="1"/>
  <c r="BV676" i="2" s="1"/>
  <c r="BP677" i="2"/>
  <c r="W678" i="2"/>
  <c r="BR678" i="2" s="1"/>
  <c r="Z679" i="2"/>
  <c r="Z680" i="2"/>
  <c r="Z682" i="2"/>
  <c r="BO682" i="2"/>
  <c r="X682" i="2"/>
  <c r="BW688" i="2"/>
  <c r="BU688" i="2"/>
  <c r="BO698" i="2"/>
  <c r="Q697" i="2"/>
  <c r="Z697" i="2" s="1"/>
  <c r="Z698" i="2"/>
  <c r="W698" i="2"/>
  <c r="J703" i="2"/>
  <c r="I703" i="2"/>
  <c r="BU662" i="2"/>
  <c r="U674" i="2"/>
  <c r="BQ674" i="2" s="1"/>
  <c r="BS674" i="2" s="1"/>
  <c r="BV674" i="2" s="1"/>
  <c r="U680" i="2"/>
  <c r="BQ680" i="2" s="1"/>
  <c r="BS680" i="2" s="1"/>
  <c r="BV680" i="2" s="1"/>
  <c r="W684" i="2"/>
  <c r="BR684" i="2" s="1"/>
  <c r="BS687" i="2"/>
  <c r="BV687" i="2" s="1"/>
  <c r="BW687" i="2" s="1"/>
  <c r="U688" i="2"/>
  <c r="BQ688" i="2" s="1"/>
  <c r="BS688" i="2" s="1"/>
  <c r="BV688" i="2" s="1"/>
  <c r="BO691" i="2"/>
  <c r="W691" i="2"/>
  <c r="BR691" i="2" s="1"/>
  <c r="BT694" i="2"/>
  <c r="BT693" i="2" s="1"/>
  <c r="T693" i="2"/>
  <c r="J699" i="2"/>
  <c r="I699" i="2"/>
  <c r="BN702" i="2"/>
  <c r="BP702" i="2" s="1"/>
  <c r="J702" i="2"/>
  <c r="X702" i="2"/>
  <c r="U702" i="2"/>
  <c r="BQ702" i="2" s="1"/>
  <c r="J704" i="2"/>
  <c r="I704" i="2"/>
  <c r="R704" i="2"/>
  <c r="O704" i="2"/>
  <c r="BP709" i="2"/>
  <c r="BO713" i="2"/>
  <c r="Z713" i="2"/>
  <c r="W713" i="2"/>
  <c r="Q712" i="2"/>
  <c r="V714" i="2"/>
  <c r="S712" i="2"/>
  <c r="BU742" i="2"/>
  <c r="X755" i="2"/>
  <c r="BN755" i="2"/>
  <c r="BP755" i="2" s="1"/>
  <c r="U755" i="2"/>
  <c r="BQ755" i="2" s="1"/>
  <c r="BS755" i="2" s="1"/>
  <c r="BV755" i="2" s="1"/>
  <c r="W639" i="2"/>
  <c r="BR639" i="2" s="1"/>
  <c r="U640" i="2"/>
  <c r="BQ640" i="2" s="1"/>
  <c r="BS640" i="2" s="1"/>
  <c r="BV640" i="2" s="1"/>
  <c r="BW640" i="2" s="1"/>
  <c r="U650" i="2"/>
  <c r="BQ650" i="2" s="1"/>
  <c r="BS650" i="2" s="1"/>
  <c r="BV650" i="2" s="1"/>
  <c r="BW650" i="2" s="1"/>
  <c r="U652" i="2"/>
  <c r="BQ652" i="2" s="1"/>
  <c r="J654" i="2"/>
  <c r="I670" i="2"/>
  <c r="I682" i="2"/>
  <c r="U690" i="2"/>
  <c r="BQ690" i="2" s="1"/>
  <c r="BS690" i="2" s="1"/>
  <c r="BV690" i="2" s="1"/>
  <c r="I695" i="2"/>
  <c r="J695" i="2"/>
  <c r="G693" i="2"/>
  <c r="AP697" i="2"/>
  <c r="AP810" i="2" s="1"/>
  <c r="O697" i="2"/>
  <c r="X697" i="2" s="1"/>
  <c r="J700" i="2"/>
  <c r="I700" i="2"/>
  <c r="BO704" i="2"/>
  <c r="Z704" i="2"/>
  <c r="BG711" i="2"/>
  <c r="BG631" i="2" s="1"/>
  <c r="BU716" i="2"/>
  <c r="V720" i="2"/>
  <c r="BT721" i="2"/>
  <c r="BT720" i="2" s="1"/>
  <c r="BN754" i="2"/>
  <c r="X754" i="2"/>
  <c r="O745" i="2"/>
  <c r="U754" i="2"/>
  <c r="BQ754" i="2" s="1"/>
  <c r="BS754" i="2" s="1"/>
  <c r="BV754" i="2" s="1"/>
  <c r="K693" i="2"/>
  <c r="K809" i="2" s="1"/>
  <c r="P697" i="2"/>
  <c r="Y697" i="2" s="1"/>
  <c r="BS700" i="2"/>
  <c r="BV700" i="2" s="1"/>
  <c r="X705" i="2"/>
  <c r="BR708" i="2"/>
  <c r="BO709" i="2"/>
  <c r="BO707" i="2" s="1"/>
  <c r="Q707" i="2"/>
  <c r="Z707" i="2" s="1"/>
  <c r="W709" i="2"/>
  <c r="BR709" i="2" s="1"/>
  <c r="Y715" i="2"/>
  <c r="P712" i="2"/>
  <c r="G725" i="2"/>
  <c r="J727" i="2"/>
  <c r="I727" i="2"/>
  <c r="BT730" i="2"/>
  <c r="AW711" i="2"/>
  <c r="AW631" i="2" s="1"/>
  <c r="BP719" i="2"/>
  <c r="BN718" i="2"/>
  <c r="BU729" i="2"/>
  <c r="BP684" i="2"/>
  <c r="U684" i="2"/>
  <c r="BQ684" i="2" s="1"/>
  <c r="BS684" i="2" s="1"/>
  <c r="BV684" i="2" s="1"/>
  <c r="W695" i="2"/>
  <c r="Q693" i="2"/>
  <c r="Z693" i="2" s="1"/>
  <c r="BO695" i="2"/>
  <c r="BO693" i="2" s="1"/>
  <c r="Z695" i="2"/>
  <c r="O695" i="2"/>
  <c r="AM693" i="2"/>
  <c r="AM809" i="2" s="1"/>
  <c r="R695" i="2"/>
  <c r="R693" i="2" s="1"/>
  <c r="S704" i="2"/>
  <c r="V704" i="2" s="1"/>
  <c r="BT704" i="2" s="1"/>
  <c r="P704" i="2"/>
  <c r="Y704" i="2" s="1"/>
  <c r="BT708" i="2"/>
  <c r="BT707" i="2" s="1"/>
  <c r="V707" i="2"/>
  <c r="I716" i="2"/>
  <c r="J716" i="2"/>
  <c r="BR723" i="2"/>
  <c r="BR722" i="2" s="1"/>
  <c r="W722" i="2"/>
  <c r="G722" i="2"/>
  <c r="J724" i="2"/>
  <c r="I724" i="2"/>
  <c r="BU738" i="2"/>
  <c r="BU739" i="2"/>
  <c r="W652" i="2"/>
  <c r="BR652" i="2" s="1"/>
  <c r="U653" i="2"/>
  <c r="BQ653" i="2" s="1"/>
  <c r="BS653" i="2" s="1"/>
  <c r="BV653" i="2" s="1"/>
  <c r="U659" i="2"/>
  <c r="BQ659" i="2" s="1"/>
  <c r="BS659" i="2" s="1"/>
  <c r="BV659" i="2" s="1"/>
  <c r="U664" i="2"/>
  <c r="BQ664" i="2" s="1"/>
  <c r="BS664" i="2" s="1"/>
  <c r="BV664" i="2" s="1"/>
  <c r="U669" i="2"/>
  <c r="BQ669" i="2" s="1"/>
  <c r="BS669" i="2" s="1"/>
  <c r="BV669" i="2" s="1"/>
  <c r="BW669" i="2" s="1"/>
  <c r="U677" i="2"/>
  <c r="BQ677" i="2" s="1"/>
  <c r="BS677" i="2" s="1"/>
  <c r="BV677" i="2" s="1"/>
  <c r="U683" i="2"/>
  <c r="BQ683" i="2" s="1"/>
  <c r="BS683" i="2" s="1"/>
  <c r="BV683" i="2" s="1"/>
  <c r="X694" i="2"/>
  <c r="O693" i="2"/>
  <c r="U694" i="2"/>
  <c r="G697" i="2"/>
  <c r="U706" i="2"/>
  <c r="V706" i="2"/>
  <c r="F711" i="2"/>
  <c r="F631" i="2" s="1"/>
  <c r="BP713" i="2"/>
  <c r="Z715" i="2"/>
  <c r="BO715" i="2"/>
  <c r="BP715" i="2" s="1"/>
  <c r="P720" i="2"/>
  <c r="Y720" i="2" s="1"/>
  <c r="Y721" i="2"/>
  <c r="X724" i="2"/>
  <c r="BN724" i="2"/>
  <c r="BP724" i="2" s="1"/>
  <c r="U724" i="2"/>
  <c r="BQ724" i="2" s="1"/>
  <c r="BS724" i="2" s="1"/>
  <c r="BV724" i="2" s="1"/>
  <c r="AB711" i="2"/>
  <c r="AB631" i="2" s="1"/>
  <c r="Y730" i="2"/>
  <c r="P725" i="2"/>
  <c r="Y725" i="2" s="1"/>
  <c r="BP730" i="2"/>
  <c r="O740" i="2"/>
  <c r="X740" i="2" s="1"/>
  <c r="X741" i="2"/>
  <c r="BN741" i="2"/>
  <c r="U741" i="2"/>
  <c r="R745" i="2"/>
  <c r="R744" i="2" s="1"/>
  <c r="BU752" i="2"/>
  <c r="BP705" i="2"/>
  <c r="BU706" i="2"/>
  <c r="BU705" i="2" s="1"/>
  <c r="U708" i="2"/>
  <c r="O712" i="2"/>
  <c r="BP714" i="2"/>
  <c r="Z717" i="2"/>
  <c r="AP711" i="2"/>
  <c r="BH711" i="2"/>
  <c r="BH631" i="2" s="1"/>
  <c r="BR721" i="2"/>
  <c r="BR720" i="2" s="1"/>
  <c r="W720" i="2"/>
  <c r="V731" i="2"/>
  <c r="BT731" i="2" s="1"/>
  <c r="S725" i="2"/>
  <c r="L148" i="3" s="1"/>
  <c r="N148" i="3" s="1"/>
  <c r="BT760" i="2"/>
  <c r="BT759" i="2" s="1"/>
  <c r="V759" i="2"/>
  <c r="Z700" i="2"/>
  <c r="BO700" i="2"/>
  <c r="BP700" i="2" s="1"/>
  <c r="W700" i="2"/>
  <c r="BR700" i="2" s="1"/>
  <c r="Y706" i="2"/>
  <c r="X708" i="2"/>
  <c r="J713" i="2"/>
  <c r="I713" i="2"/>
  <c r="G712" i="2"/>
  <c r="BP717" i="2"/>
  <c r="U719" i="2"/>
  <c r="BR726" i="2"/>
  <c r="BU728" i="2"/>
  <c r="J731" i="2"/>
  <c r="I731" i="2"/>
  <c r="AC711" i="2"/>
  <c r="AC631" i="2" s="1"/>
  <c r="BA711" i="2"/>
  <c r="BA631" i="2" s="1"/>
  <c r="U713" i="2"/>
  <c r="Z714" i="2"/>
  <c r="AF711" i="2"/>
  <c r="AF631" i="2" s="1"/>
  <c r="AR711" i="2"/>
  <c r="AR631" i="2" s="1"/>
  <c r="AR529" i="2" s="1"/>
  <c r="AX711" i="2"/>
  <c r="AX631" i="2" s="1"/>
  <c r="Z723" i="2"/>
  <c r="BO723" i="2"/>
  <c r="BO722" i="2" s="1"/>
  <c r="Q722" i="2"/>
  <c r="Z722" i="2" s="1"/>
  <c r="BP723" i="2"/>
  <c r="BN722" i="2"/>
  <c r="R725" i="2"/>
  <c r="U729" i="2"/>
  <c r="BQ729" i="2" s="1"/>
  <c r="BU743" i="2"/>
  <c r="P745" i="2"/>
  <c r="Y747" i="2"/>
  <c r="U681" i="2"/>
  <c r="BQ681" i="2" s="1"/>
  <c r="BS681" i="2" s="1"/>
  <c r="BV681" i="2" s="1"/>
  <c r="BW681" i="2" s="1"/>
  <c r="J690" i="2"/>
  <c r="I690" i="2"/>
  <c r="U692" i="2"/>
  <c r="BQ692" i="2" s="1"/>
  <c r="BS692" i="2" s="1"/>
  <c r="BV692" i="2" s="1"/>
  <c r="BW692" i="2" s="1"/>
  <c r="BP694" i="2"/>
  <c r="U698" i="2"/>
  <c r="K697" i="2"/>
  <c r="T697" i="2"/>
  <c r="BN705" i="2"/>
  <c r="BN708" i="2"/>
  <c r="BP710" i="2"/>
  <c r="AJ711" i="2"/>
  <c r="AJ631" i="2" s="1"/>
  <c r="X713" i="2"/>
  <c r="BO714" i="2"/>
  <c r="BT725" i="2"/>
  <c r="AI744" i="2"/>
  <c r="AI711" i="2" s="1"/>
  <c r="AI631" i="2" s="1"/>
  <c r="AO744" i="2"/>
  <c r="AO711" i="2" s="1"/>
  <c r="AO631" i="2" s="1"/>
  <c r="BA744" i="2"/>
  <c r="BG744" i="2"/>
  <c r="V757" i="2"/>
  <c r="BT758" i="2"/>
  <c r="BT757" i="2" s="1"/>
  <c r="BP758" i="2"/>
  <c r="BN757" i="2"/>
  <c r="AC794" i="2"/>
  <c r="U767" i="2"/>
  <c r="BQ767" i="2" s="1"/>
  <c r="K762" i="2"/>
  <c r="Z768" i="2"/>
  <c r="BO768" i="2"/>
  <c r="U691" i="2"/>
  <c r="BQ691" i="2" s="1"/>
  <c r="BS691" i="2" s="1"/>
  <c r="BV691" i="2" s="1"/>
  <c r="BN691" i="2"/>
  <c r="BP691" i="2" s="1"/>
  <c r="Z692" i="2"/>
  <c r="W699" i="2"/>
  <c r="BR699" i="2" s="1"/>
  <c r="U701" i="2"/>
  <c r="BQ701" i="2" s="1"/>
  <c r="BS701" i="2" s="1"/>
  <c r="BV701" i="2" s="1"/>
  <c r="BN701" i="2"/>
  <c r="BP701" i="2" s="1"/>
  <c r="W703" i="2"/>
  <c r="BR703" i="2" s="1"/>
  <c r="W706" i="2"/>
  <c r="X709" i="2"/>
  <c r="W710" i="2"/>
  <c r="BR710" i="2" s="1"/>
  <c r="U715" i="2"/>
  <c r="BQ715" i="2" s="1"/>
  <c r="BS715" i="2" s="1"/>
  <c r="BV715" i="2" s="1"/>
  <c r="W716" i="2"/>
  <c r="BR716" i="2" s="1"/>
  <c r="BS716" i="2" s="1"/>
  <c r="BV716" i="2" s="1"/>
  <c r="BW716" i="2" s="1"/>
  <c r="O720" i="2"/>
  <c r="X720" i="2" s="1"/>
  <c r="BN721" i="2"/>
  <c r="U723" i="2"/>
  <c r="O725" i="2"/>
  <c r="X725" i="2" s="1"/>
  <c r="U726" i="2"/>
  <c r="Z730" i="2"/>
  <c r="I732" i="2"/>
  <c r="J732" i="2"/>
  <c r="U732" i="2"/>
  <c r="BQ732" i="2" s="1"/>
  <c r="BS732" i="2" s="1"/>
  <c r="BV732" i="2" s="1"/>
  <c r="Z737" i="2"/>
  <c r="BO737" i="2"/>
  <c r="BP737" i="2" s="1"/>
  <c r="W737" i="2"/>
  <c r="BR737" i="2" s="1"/>
  <c r="BO740" i="2"/>
  <c r="U742" i="2"/>
  <c r="BQ742" i="2" s="1"/>
  <c r="G745" i="2"/>
  <c r="J746" i="2"/>
  <c r="S745" i="2"/>
  <c r="S744" i="2" s="1"/>
  <c r="V746" i="2"/>
  <c r="U749" i="2"/>
  <c r="BQ749" i="2" s="1"/>
  <c r="BS749" i="2" s="1"/>
  <c r="BV749" i="2" s="1"/>
  <c r="BP750" i="2"/>
  <c r="I765" i="2"/>
  <c r="J765" i="2"/>
  <c r="K817" i="2"/>
  <c r="U721" i="2"/>
  <c r="Q148" i="3"/>
  <c r="T148" i="3" s="1"/>
  <c r="I729" i="2"/>
  <c r="J729" i="2"/>
  <c r="BP736" i="2"/>
  <c r="X742" i="2"/>
  <c r="AC744" i="2"/>
  <c r="AU744" i="2"/>
  <c r="AU711" i="2" s="1"/>
  <c r="AU631" i="2" s="1"/>
  <c r="BM744" i="2"/>
  <c r="BM711" i="2" s="1"/>
  <c r="BM631" i="2" s="1"/>
  <c r="I752" i="2"/>
  <c r="J752" i="2"/>
  <c r="Z753" i="2"/>
  <c r="BO753" i="2"/>
  <c r="BP753" i="2" s="1"/>
  <c r="BU756" i="2"/>
  <c r="BO773" i="2"/>
  <c r="BO817" i="2" s="1"/>
  <c r="Z776" i="2"/>
  <c r="BO776" i="2"/>
  <c r="BO777" i="2"/>
  <c r="BP777" i="2" s="1"/>
  <c r="W777" i="2"/>
  <c r="BR777" i="2" s="1"/>
  <c r="BN698" i="2"/>
  <c r="Z706" i="2"/>
  <c r="U709" i="2"/>
  <c r="BQ709" i="2" s="1"/>
  <c r="BS709" i="2" s="1"/>
  <c r="BV709" i="2" s="1"/>
  <c r="M711" i="2"/>
  <c r="M631" i="2" s="1"/>
  <c r="U717" i="2"/>
  <c r="BQ717" i="2" s="1"/>
  <c r="BS717" i="2" s="1"/>
  <c r="BV717" i="2" s="1"/>
  <c r="V719" i="2"/>
  <c r="Y723" i="2"/>
  <c r="BT723" i="2"/>
  <c r="BT722" i="2" s="1"/>
  <c r="W728" i="2"/>
  <c r="BR728" i="2" s="1"/>
  <c r="U730" i="2"/>
  <c r="BQ730" i="2" s="1"/>
  <c r="BS730" i="2" s="1"/>
  <c r="BV730" i="2" s="1"/>
  <c r="I735" i="2"/>
  <c r="J735" i="2"/>
  <c r="Z736" i="2"/>
  <c r="BO736" i="2"/>
  <c r="BO725" i="2" s="1"/>
  <c r="U738" i="2"/>
  <c r="BQ738" i="2" s="1"/>
  <c r="BS738" i="2" s="1"/>
  <c r="BV738" i="2" s="1"/>
  <c r="BW738" i="2" s="1"/>
  <c r="V740" i="2"/>
  <c r="BT741" i="2"/>
  <c r="BT740" i="2" s="1"/>
  <c r="J743" i="2"/>
  <c r="G740" i="2"/>
  <c r="J747" i="2"/>
  <c r="I747" i="2"/>
  <c r="Z748" i="2"/>
  <c r="BO748" i="2"/>
  <c r="BP751" i="2"/>
  <c r="S757" i="2"/>
  <c r="Y760" i="2"/>
  <c r="BT763" i="2"/>
  <c r="BT762" i="2" s="1"/>
  <c r="V762" i="2"/>
  <c r="U699" i="2"/>
  <c r="BQ699" i="2" s="1"/>
  <c r="BS699" i="2" s="1"/>
  <c r="BV699" i="2" s="1"/>
  <c r="BW699" i="2" s="1"/>
  <c r="W702" i="2"/>
  <c r="BR702" i="2" s="1"/>
  <c r="U703" i="2"/>
  <c r="BQ703" i="2" s="1"/>
  <c r="U710" i="2"/>
  <c r="BQ710" i="2" s="1"/>
  <c r="T712" i="2"/>
  <c r="AE725" i="2"/>
  <c r="AE816" i="2" s="1"/>
  <c r="BN726" i="2"/>
  <c r="W729" i="2"/>
  <c r="BR729" i="2" s="1"/>
  <c r="BN732" i="2"/>
  <c r="BP732" i="2" s="1"/>
  <c r="BP735" i="2"/>
  <c r="W735" i="2"/>
  <c r="BR735" i="2" s="1"/>
  <c r="U737" i="2"/>
  <c r="BQ737" i="2" s="1"/>
  <c r="BS737" i="2" s="1"/>
  <c r="BV737" i="2" s="1"/>
  <c r="Y741" i="2"/>
  <c r="BO746" i="2"/>
  <c r="W746" i="2"/>
  <c r="Q745" i="2"/>
  <c r="Z746" i="2"/>
  <c r="W747" i="2"/>
  <c r="BR747" i="2" s="1"/>
  <c r="BP748" i="2"/>
  <c r="P757" i="2"/>
  <c r="Y757" i="2" s="1"/>
  <c r="Y758" i="2"/>
  <c r="W768" i="2"/>
  <c r="BR768" i="2" s="1"/>
  <c r="X770" i="2"/>
  <c r="BN770" i="2"/>
  <c r="BP770" i="2" s="1"/>
  <c r="U770" i="2"/>
  <c r="BQ770" i="2" s="1"/>
  <c r="BS770" i="2" s="1"/>
  <c r="BV770" i="2" s="1"/>
  <c r="U714" i="2"/>
  <c r="BQ714" i="2" s="1"/>
  <c r="BS714" i="2" s="1"/>
  <c r="BV714" i="2" s="1"/>
  <c r="U728" i="2"/>
  <c r="BQ728" i="2" s="1"/>
  <c r="I736" i="2"/>
  <c r="I737" i="2"/>
  <c r="J737" i="2"/>
  <c r="U739" i="2"/>
  <c r="BQ739" i="2" s="1"/>
  <c r="BS739" i="2" s="1"/>
  <c r="BV739" i="2" s="1"/>
  <c r="BW739" i="2" s="1"/>
  <c r="Q740" i="2"/>
  <c r="Z740" i="2" s="1"/>
  <c r="P742" i="2"/>
  <c r="Y742" i="2" s="1"/>
  <c r="AB740" i="2"/>
  <c r="AB816" i="2" s="1"/>
  <c r="Z749" i="2"/>
  <c r="I753" i="2"/>
  <c r="I754" i="2"/>
  <c r="J754" i="2"/>
  <c r="BO754" i="2"/>
  <c r="U756" i="2"/>
  <c r="BQ756" i="2" s="1"/>
  <c r="BS756" i="2" s="1"/>
  <c r="BV756" i="2" s="1"/>
  <c r="BW756" i="2" s="1"/>
  <c r="I757" i="2"/>
  <c r="J757" i="2"/>
  <c r="AE744" i="2"/>
  <c r="AK744" i="2"/>
  <c r="AK711" i="2" s="1"/>
  <c r="AK631" i="2" s="1"/>
  <c r="AQ744" i="2"/>
  <c r="AQ711" i="2" s="1"/>
  <c r="AQ631" i="2" s="1"/>
  <c r="AW744" i="2"/>
  <c r="BC744" i="2"/>
  <c r="BC711" i="2" s="1"/>
  <c r="BC631" i="2" s="1"/>
  <c r="BI744" i="2"/>
  <c r="BI711" i="2" s="1"/>
  <c r="BI631" i="2" s="1"/>
  <c r="BN760" i="2"/>
  <c r="O759" i="2"/>
  <c r="X759" i="2" s="1"/>
  <c r="X760" i="2"/>
  <c r="U760" i="2"/>
  <c r="BP765" i="2"/>
  <c r="BP768" i="2"/>
  <c r="W769" i="2"/>
  <c r="BR769" i="2" s="1"/>
  <c r="Z775" i="2"/>
  <c r="BO775" i="2"/>
  <c r="BP775" i="2" s="1"/>
  <c r="X776" i="2"/>
  <c r="BN776" i="2"/>
  <c r="U776" i="2"/>
  <c r="BQ776" i="2" s="1"/>
  <c r="BS776" i="2" s="1"/>
  <c r="BV776" i="2" s="1"/>
  <c r="I779" i="2"/>
  <c r="J779" i="2"/>
  <c r="BU780" i="2"/>
  <c r="L91" i="3"/>
  <c r="L63" i="3"/>
  <c r="I797" i="2"/>
  <c r="J797" i="2" s="1"/>
  <c r="W754" i="2"/>
  <c r="BR754" i="2" s="1"/>
  <c r="O757" i="2"/>
  <c r="X757" i="2" s="1"/>
  <c r="X758" i="2"/>
  <c r="U758" i="2"/>
  <c r="I759" i="2"/>
  <c r="J759" i="2"/>
  <c r="Q762" i="2"/>
  <c r="Z762" i="2" s="1"/>
  <c r="W763" i="2"/>
  <c r="Z764" i="2"/>
  <c r="W764" i="2"/>
  <c r="BR764" i="2" s="1"/>
  <c r="BO764" i="2"/>
  <c r="BS765" i="2"/>
  <c r="BV765" i="2" s="1"/>
  <c r="X766" i="2"/>
  <c r="BN766" i="2"/>
  <c r="BP766" i="2" s="1"/>
  <c r="U766" i="2"/>
  <c r="BQ766" i="2" s="1"/>
  <c r="BS766" i="2" s="1"/>
  <c r="BV766" i="2" s="1"/>
  <c r="X769" i="2"/>
  <c r="BN769" i="2"/>
  <c r="BP769" i="2" s="1"/>
  <c r="U769" i="2"/>
  <c r="BQ769" i="2" s="1"/>
  <c r="I774" i="2"/>
  <c r="G773" i="2"/>
  <c r="G817" i="2" s="1"/>
  <c r="J774" i="2"/>
  <c r="U778" i="2"/>
  <c r="BQ778" i="2" s="1"/>
  <c r="BS778" i="2" s="1"/>
  <c r="BV778" i="2" s="1"/>
  <c r="BW778" i="2" s="1"/>
  <c r="BU778" i="2"/>
  <c r="U727" i="2"/>
  <c r="BQ727" i="2" s="1"/>
  <c r="BS727" i="2" s="1"/>
  <c r="BV727" i="2" s="1"/>
  <c r="BW727" i="2" s="1"/>
  <c r="U733" i="2"/>
  <c r="BQ733" i="2" s="1"/>
  <c r="BS733" i="2" s="1"/>
  <c r="BV733" i="2" s="1"/>
  <c r="BW733" i="2" s="1"/>
  <c r="T745" i="2"/>
  <c r="T744" i="2" s="1"/>
  <c r="I748" i="2"/>
  <c r="J748" i="2"/>
  <c r="U750" i="2"/>
  <c r="BQ750" i="2" s="1"/>
  <c r="BS750" i="2" s="1"/>
  <c r="BV750" i="2" s="1"/>
  <c r="BO763" i="2"/>
  <c r="W766" i="2"/>
  <c r="BR766" i="2" s="1"/>
  <c r="BP767" i="2"/>
  <c r="I771" i="2"/>
  <c r="Q773" i="2"/>
  <c r="BN774" i="2"/>
  <c r="O773" i="2"/>
  <c r="U774" i="2"/>
  <c r="Y775" i="2"/>
  <c r="P773" i="2"/>
  <c r="W775" i="2"/>
  <c r="BR775" i="2" s="1"/>
  <c r="I776" i="2"/>
  <c r="J776" i="2"/>
  <c r="H784" i="2"/>
  <c r="M793" i="2"/>
  <c r="U731" i="2"/>
  <c r="BQ731" i="2" s="1"/>
  <c r="BS731" i="2" s="1"/>
  <c r="BV731" i="2" s="1"/>
  <c r="W734" i="2"/>
  <c r="BR734" i="2" s="1"/>
  <c r="BS734" i="2" s="1"/>
  <c r="BV734" i="2" s="1"/>
  <c r="BW734" i="2" s="1"/>
  <c r="U736" i="2"/>
  <c r="BQ736" i="2" s="1"/>
  <c r="BS736" i="2" s="1"/>
  <c r="BV736" i="2" s="1"/>
  <c r="W742" i="2"/>
  <c r="U743" i="2"/>
  <c r="BQ743" i="2" s="1"/>
  <c r="BS743" i="2" s="1"/>
  <c r="BV743" i="2" s="1"/>
  <c r="BW743" i="2" s="1"/>
  <c r="U747" i="2"/>
  <c r="BQ747" i="2" s="1"/>
  <c r="BS747" i="2" s="1"/>
  <c r="BV747" i="2" s="1"/>
  <c r="BW747" i="2" s="1"/>
  <c r="W751" i="2"/>
  <c r="BR751" i="2" s="1"/>
  <c r="BS751" i="2" s="1"/>
  <c r="BV751" i="2" s="1"/>
  <c r="U753" i="2"/>
  <c r="BQ753" i="2" s="1"/>
  <c r="BS753" i="2" s="1"/>
  <c r="BV753" i="2" s="1"/>
  <c r="S762" i="2"/>
  <c r="I769" i="2"/>
  <c r="J769" i="2"/>
  <c r="T773" i="2"/>
  <c r="T817" i="2" s="1"/>
  <c r="L65" i="3"/>
  <c r="L93" i="3"/>
  <c r="Q792" i="2"/>
  <c r="C789" i="2" s="1"/>
  <c r="M791" i="2"/>
  <c r="U735" i="2"/>
  <c r="BQ735" i="2" s="1"/>
  <c r="BS735" i="2" s="1"/>
  <c r="BV735" i="2" s="1"/>
  <c r="U746" i="2"/>
  <c r="U752" i="2"/>
  <c r="BQ752" i="2" s="1"/>
  <c r="BS752" i="2" s="1"/>
  <c r="BV752" i="2" s="1"/>
  <c r="BW752" i="2" s="1"/>
  <c r="G762" i="2"/>
  <c r="J762" i="2" s="1"/>
  <c r="BN764" i="2"/>
  <c r="U764" i="2"/>
  <c r="BQ764" i="2" s="1"/>
  <c r="BS764" i="2" s="1"/>
  <c r="BV764" i="2" s="1"/>
  <c r="U777" i="2"/>
  <c r="BQ777" i="2" s="1"/>
  <c r="BS777" i="2" s="1"/>
  <c r="BV777" i="2" s="1"/>
  <c r="BU779" i="2"/>
  <c r="BW779" i="2"/>
  <c r="U779" i="2"/>
  <c r="BQ779" i="2" s="1"/>
  <c r="BS779" i="2" s="1"/>
  <c r="BV779" i="2" s="1"/>
  <c r="B792" i="2"/>
  <c r="AC797" i="2"/>
  <c r="AG798" i="2" s="1"/>
  <c r="W767" i="2"/>
  <c r="BR767" i="2" s="1"/>
  <c r="U768" i="2"/>
  <c r="BQ768" i="2" s="1"/>
  <c r="BS768" i="2" s="1"/>
  <c r="BV768" i="2" s="1"/>
  <c r="W774" i="2"/>
  <c r="U775" i="2"/>
  <c r="BQ775" i="2" s="1"/>
  <c r="BS775" i="2" s="1"/>
  <c r="BV775" i="2" s="1"/>
  <c r="Z780" i="2"/>
  <c r="M796" i="2"/>
  <c r="U763" i="2"/>
  <c r="U780" i="2"/>
  <c r="BQ780" i="2" s="1"/>
  <c r="BS780" i="2" s="1"/>
  <c r="BV780" i="2" s="1"/>
  <c r="BW780" i="2" s="1"/>
  <c r="U205" i="3"/>
  <c r="U217" i="3"/>
  <c r="U199" i="3"/>
  <c r="U214" i="3"/>
  <c r="U200" i="3"/>
  <c r="U206" i="3"/>
  <c r="U219" i="3"/>
  <c r="U213" i="3"/>
  <c r="R217" i="3"/>
  <c r="AH157" i="2" l="1"/>
  <c r="BF804" i="2"/>
  <c r="AN157" i="2"/>
  <c r="W194" i="2"/>
  <c r="BO186" i="2"/>
  <c r="AG157" i="2"/>
  <c r="M179" i="3"/>
  <c r="AS804" i="2"/>
  <c r="BD157" i="2"/>
  <c r="AR157" i="2"/>
  <c r="BN196" i="2"/>
  <c r="BU569" i="2"/>
  <c r="BW569" i="2"/>
  <c r="BP567" i="2"/>
  <c r="BU468" i="2"/>
  <c r="BW468" i="2"/>
  <c r="BU417" i="2"/>
  <c r="BW417" i="2"/>
  <c r="AE804" i="2"/>
  <c r="T631" i="2"/>
  <c r="BU685" i="2"/>
  <c r="BU495" i="2"/>
  <c r="BW495" i="2"/>
  <c r="R806" i="2"/>
  <c r="R531" i="2"/>
  <c r="R530" i="2" s="1"/>
  <c r="BU448" i="2"/>
  <c r="BW448" i="2"/>
  <c r="AK804" i="2"/>
  <c r="BU285" i="2"/>
  <c r="BW211" i="2"/>
  <c r="BU211" i="2"/>
  <c r="BU195" i="2"/>
  <c r="BW229" i="2"/>
  <c r="BU229" i="2"/>
  <c r="BU222" i="2"/>
  <c r="BW222" i="2"/>
  <c r="BW133" i="2"/>
  <c r="BU133" i="2"/>
  <c r="F35" i="3"/>
  <c r="M178" i="3"/>
  <c r="BM3" i="2"/>
  <c r="AC3" i="2"/>
  <c r="BW683" i="2"/>
  <c r="BU683" i="2"/>
  <c r="AP804" i="2"/>
  <c r="AJ529" i="2"/>
  <c r="AJ3" i="2" s="1"/>
  <c r="AJ803" i="2" s="1"/>
  <c r="BU474" i="2"/>
  <c r="BW474" i="2"/>
  <c r="BW433" i="2"/>
  <c r="BU433" i="2"/>
  <c r="T420" i="2"/>
  <c r="BU212" i="2"/>
  <c r="AL3" i="2"/>
  <c r="I811" i="2"/>
  <c r="BW777" i="2"/>
  <c r="BU777" i="2"/>
  <c r="BW642" i="2"/>
  <c r="BU642" i="2"/>
  <c r="BC529" i="2"/>
  <c r="BU513" i="2"/>
  <c r="BW513" i="2"/>
  <c r="BU492" i="2"/>
  <c r="BU454" i="2"/>
  <c r="BW454" i="2"/>
  <c r="BW496" i="2"/>
  <c r="BU496" i="2"/>
  <c r="O790" i="2"/>
  <c r="N384" i="2"/>
  <c r="N271" i="2" s="1"/>
  <c r="BU414" i="2"/>
  <c r="BW446" i="2"/>
  <c r="BU446" i="2"/>
  <c r="BU55" i="2"/>
  <c r="BW137" i="2"/>
  <c r="BU137" i="2"/>
  <c r="BW84" i="2"/>
  <c r="BU84" i="2"/>
  <c r="BU690" i="2"/>
  <c r="BW690" i="2"/>
  <c r="M529" i="2"/>
  <c r="AK529" i="2"/>
  <c r="R272" i="2"/>
  <c r="BW85" i="2"/>
  <c r="BU85" i="2"/>
  <c r="BW63" i="2"/>
  <c r="BU63" i="2"/>
  <c r="BW111" i="2"/>
  <c r="BU111" i="2"/>
  <c r="BW753" i="2"/>
  <c r="BU753" i="2"/>
  <c r="BW659" i="2"/>
  <c r="BU659" i="2"/>
  <c r="BM529" i="2"/>
  <c r="BW483" i="2"/>
  <c r="BU483" i="2"/>
  <c r="BW456" i="2"/>
  <c r="BU456" i="2"/>
  <c r="BU289" i="2"/>
  <c r="BW289" i="2"/>
  <c r="M271" i="2"/>
  <c r="I814" i="2"/>
  <c r="J814" i="2"/>
  <c r="BU72" i="2"/>
  <c r="BW72" i="2"/>
  <c r="BW123" i="2"/>
  <c r="BU123" i="2"/>
  <c r="BU26" i="2"/>
  <c r="BW26" i="2"/>
  <c r="BW131" i="2"/>
  <c r="BU131" i="2"/>
  <c r="BW43" i="2"/>
  <c r="BU43" i="2"/>
  <c r="M182" i="3"/>
  <c r="M95" i="3"/>
  <c r="L122" i="3" s="1"/>
  <c r="N122" i="3" s="1"/>
  <c r="W477" i="2"/>
  <c r="BR478" i="2"/>
  <c r="BR477" i="2" s="1"/>
  <c r="BW373" i="2"/>
  <c r="BU373" i="2"/>
  <c r="BU294" i="2"/>
  <c r="BW294" i="2"/>
  <c r="J806" i="2"/>
  <c r="BU248" i="2"/>
  <c r="BW235" i="2"/>
  <c r="BU235" i="2"/>
  <c r="BW234" i="2"/>
  <c r="BU234" i="2"/>
  <c r="L804" i="2"/>
  <c r="AB804" i="2"/>
  <c r="BW70" i="2"/>
  <c r="BU70" i="2"/>
  <c r="BD3" i="2"/>
  <c r="BW74" i="2"/>
  <c r="BU74" i="2"/>
  <c r="BT17" i="2"/>
  <c r="L66" i="3"/>
  <c r="L94" i="3"/>
  <c r="Q793" i="2"/>
  <c r="C788" i="2" s="1"/>
  <c r="BU767" i="2"/>
  <c r="BU751" i="2"/>
  <c r="BW751" i="2"/>
  <c r="BU694" i="2"/>
  <c r="G784" i="2"/>
  <c r="M789" i="2"/>
  <c r="L64" i="3"/>
  <c r="L92" i="3"/>
  <c r="Q791" i="2"/>
  <c r="C786" i="2" s="1"/>
  <c r="I798" i="2"/>
  <c r="J798" i="2" s="1"/>
  <c r="U773" i="2"/>
  <c r="U817" i="2" s="1"/>
  <c r="BQ774" i="2"/>
  <c r="BW766" i="2"/>
  <c r="BU766" i="2"/>
  <c r="BP776" i="2"/>
  <c r="T711" i="2"/>
  <c r="V718" i="2"/>
  <c r="BT719" i="2"/>
  <c r="BT718" i="2" s="1"/>
  <c r="BQ719" i="2"/>
  <c r="U718" i="2"/>
  <c r="U740" i="2"/>
  <c r="BQ741" i="2"/>
  <c r="I725" i="2"/>
  <c r="J725" i="2"/>
  <c r="BT714" i="2"/>
  <c r="BT712" i="2" s="1"/>
  <c r="V712" i="2"/>
  <c r="BP764" i="2"/>
  <c r="BR742" i="2"/>
  <c r="BR740" i="2" s="1"/>
  <c r="W740" i="2"/>
  <c r="O817" i="2"/>
  <c r="X773" i="2"/>
  <c r="X817" i="2" s="1"/>
  <c r="J773" i="2"/>
  <c r="J817" i="2" s="1"/>
  <c r="BO762" i="2"/>
  <c r="BS769" i="2"/>
  <c r="BV769" i="2" s="1"/>
  <c r="BW769" i="2" s="1"/>
  <c r="BQ760" i="2"/>
  <c r="U759" i="2"/>
  <c r="Z745" i="2"/>
  <c r="Q744" i="2"/>
  <c r="Z744" i="2" s="1"/>
  <c r="BU735" i="2"/>
  <c r="BW735" i="2"/>
  <c r="BS710" i="2"/>
  <c r="BV710" i="2" s="1"/>
  <c r="BP763" i="2"/>
  <c r="G744" i="2"/>
  <c r="J745" i="2"/>
  <c r="I745" i="2"/>
  <c r="BQ723" i="2"/>
  <c r="U722" i="2"/>
  <c r="BS767" i="2"/>
  <c r="BV767" i="2" s="1"/>
  <c r="BW767" i="2" s="1"/>
  <c r="U712" i="2"/>
  <c r="BQ713" i="2"/>
  <c r="BW717" i="2"/>
  <c r="BU717" i="2"/>
  <c r="BP741" i="2"/>
  <c r="BN740" i="2"/>
  <c r="U705" i="2"/>
  <c r="BQ706" i="2"/>
  <c r="J722" i="2"/>
  <c r="I722" i="2"/>
  <c r="X695" i="2"/>
  <c r="BN695" i="2"/>
  <c r="BP718" i="2"/>
  <c r="BU719" i="2"/>
  <c r="BU718" i="2" s="1"/>
  <c r="AE711" i="2"/>
  <c r="AE631" i="2" s="1"/>
  <c r="AE529" i="2" s="1"/>
  <c r="AE3" i="2" s="1"/>
  <c r="AE803" i="2" s="1"/>
  <c r="Y712" i="2"/>
  <c r="W707" i="2"/>
  <c r="U695" i="2"/>
  <c r="BQ695" i="2" s="1"/>
  <c r="J693" i="2"/>
  <c r="I693" i="2"/>
  <c r="BW755" i="2"/>
  <c r="BU755" i="2"/>
  <c r="Z712" i="2"/>
  <c r="Q711" i="2"/>
  <c r="Z711" i="2" s="1"/>
  <c r="W697" i="2"/>
  <c r="BR698" i="2"/>
  <c r="BR697" i="2" s="1"/>
  <c r="BW677" i="2"/>
  <c r="BU677" i="2"/>
  <c r="BS647" i="2"/>
  <c r="BV647" i="2" s="1"/>
  <c r="BW647" i="2" s="1"/>
  <c r="BW749" i="2"/>
  <c r="BU749" i="2"/>
  <c r="W615" i="2"/>
  <c r="BR616" i="2"/>
  <c r="BR615" i="2" s="1"/>
  <c r="BS678" i="2"/>
  <c r="BV678" i="2" s="1"/>
  <c r="BW678" i="2" s="1"/>
  <c r="BQ638" i="2"/>
  <c r="BP610" i="2"/>
  <c r="BN609" i="2"/>
  <c r="BT698" i="2"/>
  <c r="BT697" i="2" s="1"/>
  <c r="V697" i="2"/>
  <c r="BW657" i="2"/>
  <c r="BU657" i="2"/>
  <c r="J615" i="2"/>
  <c r="I615" i="2"/>
  <c r="BS685" i="2"/>
  <c r="BV685" i="2" s="1"/>
  <c r="BW685" i="2" s="1"/>
  <c r="Y639" i="2"/>
  <c r="P637" i="2"/>
  <c r="BO632" i="2"/>
  <c r="BN596" i="2"/>
  <c r="R632" i="2"/>
  <c r="Z635" i="2"/>
  <c r="Q631" i="2"/>
  <c r="Z631" i="2" s="1"/>
  <c r="BN627" i="2"/>
  <c r="BS595" i="2"/>
  <c r="BV595" i="2" s="1"/>
  <c r="BU587" i="2"/>
  <c r="BW587" i="2"/>
  <c r="BU658" i="2"/>
  <c r="BW658" i="2"/>
  <c r="BO637" i="2"/>
  <c r="AH631" i="2"/>
  <c r="P624" i="2"/>
  <c r="Y624" i="2" s="1"/>
  <c r="BQ551" i="2"/>
  <c r="U550" i="2"/>
  <c r="Y606" i="2"/>
  <c r="P605" i="2"/>
  <c r="Y605" i="2" s="1"/>
  <c r="BU646" i="2"/>
  <c r="BS591" i="2"/>
  <c r="BT578" i="2"/>
  <c r="BT577" i="2" s="1"/>
  <c r="V577" i="2"/>
  <c r="BF529" i="2"/>
  <c r="J532" i="2"/>
  <c r="I532" i="2"/>
  <c r="G531" i="2"/>
  <c r="BR533" i="2"/>
  <c r="BR532" i="2" s="1"/>
  <c r="BR531" i="2" s="1"/>
  <c r="W532" i="2"/>
  <c r="W531" i="2" s="1"/>
  <c r="BP525" i="2"/>
  <c r="BN524" i="2"/>
  <c r="BW504" i="2"/>
  <c r="BU504" i="2"/>
  <c r="J567" i="2"/>
  <c r="I567" i="2"/>
  <c r="G566" i="2"/>
  <c r="W559" i="2"/>
  <c r="BG529" i="2"/>
  <c r="BG3" i="2" s="1"/>
  <c r="BP540" i="2"/>
  <c r="BN539" i="2"/>
  <c r="AS529" i="2"/>
  <c r="BS505" i="2"/>
  <c r="BV505" i="2" s="1"/>
  <c r="BW505" i="2" s="1"/>
  <c r="BN481" i="2"/>
  <c r="BP482" i="2"/>
  <c r="X560" i="2"/>
  <c r="O559" i="2"/>
  <c r="X559" i="2" s="1"/>
  <c r="AI529" i="2"/>
  <c r="AI3" i="2" s="1"/>
  <c r="Q515" i="2"/>
  <c r="Z515" i="2" s="1"/>
  <c r="Z516" i="2"/>
  <c r="BO581" i="2"/>
  <c r="BO580" i="2" s="1"/>
  <c r="I560" i="2"/>
  <c r="G559" i="2"/>
  <c r="J560" i="2"/>
  <c r="U541" i="2"/>
  <c r="BQ542" i="2"/>
  <c r="AY529" i="2"/>
  <c r="BR515" i="2"/>
  <c r="P460" i="2"/>
  <c r="Y460" i="2" s="1"/>
  <c r="BQ375" i="2"/>
  <c r="U374" i="2"/>
  <c r="BS439" i="2"/>
  <c r="BV439" i="2" s="1"/>
  <c r="BS428" i="2"/>
  <c r="BV428" i="2" s="1"/>
  <c r="BQ472" i="2"/>
  <c r="U471" i="2"/>
  <c r="BS451" i="2"/>
  <c r="BV451" i="2" s="1"/>
  <c r="U370" i="2"/>
  <c r="BQ371" i="2"/>
  <c r="U364" i="2"/>
  <c r="BQ365" i="2"/>
  <c r="BH529" i="2"/>
  <c r="BS503" i="2"/>
  <c r="BV503" i="2" s="1"/>
  <c r="BW498" i="2"/>
  <c r="BU498" i="2"/>
  <c r="Y487" i="2"/>
  <c r="P486" i="2"/>
  <c r="BU430" i="2"/>
  <c r="BW430" i="2"/>
  <c r="J407" i="2"/>
  <c r="I407" i="2"/>
  <c r="G406" i="2"/>
  <c r="BQ399" i="2"/>
  <c r="U398" i="2"/>
  <c r="BR382" i="2"/>
  <c r="BR381" i="2" s="1"/>
  <c r="W381" i="2"/>
  <c r="BW362" i="2"/>
  <c r="BU362" i="2"/>
  <c r="BQ356" i="2"/>
  <c r="U355" i="2"/>
  <c r="BR346" i="2"/>
  <c r="BR345" i="2" s="1"/>
  <c r="W345" i="2"/>
  <c r="BQ402" i="2"/>
  <c r="U401" i="2"/>
  <c r="P378" i="2"/>
  <c r="Y379" i="2"/>
  <c r="BT369" i="2"/>
  <c r="BT368" i="2" s="1"/>
  <c r="V368" i="2"/>
  <c r="X350" i="2"/>
  <c r="AO420" i="2"/>
  <c r="AO384" i="2" s="1"/>
  <c r="AO271" i="2" s="1"/>
  <c r="AO3" i="2" s="1"/>
  <c r="X386" i="2"/>
  <c r="X379" i="2"/>
  <c r="O378" i="2"/>
  <c r="X378" i="2" s="1"/>
  <c r="I364" i="2"/>
  <c r="J364" i="2"/>
  <c r="AT271" i="2"/>
  <c r="BQ351" i="2"/>
  <c r="U350" i="2"/>
  <c r="BR325" i="2"/>
  <c r="BR324" i="2" s="1"/>
  <c r="W324" i="2"/>
  <c r="BQ307" i="2"/>
  <c r="U306" i="2"/>
  <c r="U522" i="2"/>
  <c r="BQ523" i="2"/>
  <c r="V404" i="2"/>
  <c r="V400" i="2" s="1"/>
  <c r="BT405" i="2"/>
  <c r="BT404" i="2" s="1"/>
  <c r="BT400" i="2" s="1"/>
  <c r="BW342" i="2"/>
  <c r="BU342" i="2"/>
  <c r="H530" i="2"/>
  <c r="H529" i="2" s="1"/>
  <c r="P423" i="2"/>
  <c r="P807" i="2" s="1"/>
  <c r="Y807" i="2" s="1"/>
  <c r="J400" i="2"/>
  <c r="I400" i="2"/>
  <c r="R384" i="2"/>
  <c r="BO370" i="2"/>
  <c r="BP372" i="2"/>
  <c r="BT367" i="2"/>
  <c r="BT366" i="2" s="1"/>
  <c r="V366" i="2"/>
  <c r="BU351" i="2"/>
  <c r="BP350" i="2"/>
  <c r="BQ318" i="2"/>
  <c r="U317" i="2"/>
  <c r="BW298" i="2"/>
  <c r="BU298" i="2"/>
  <c r="M92" i="3"/>
  <c r="L119" i="3" s="1"/>
  <c r="N119" i="3" s="1"/>
  <c r="BS388" i="2"/>
  <c r="BV388" i="2" s="1"/>
  <c r="BU375" i="2"/>
  <c r="O359" i="2"/>
  <c r="X359" i="2" s="1"/>
  <c r="X360" i="2"/>
  <c r="BN345" i="2"/>
  <c r="BP346" i="2"/>
  <c r="BQ316" i="2"/>
  <c r="U315" i="2"/>
  <c r="Z274" i="2"/>
  <c r="Q273" i="2"/>
  <c r="BU307" i="2"/>
  <c r="BU306" i="2" s="1"/>
  <c r="BP306" i="2"/>
  <c r="W240" i="2"/>
  <c r="BR241" i="2"/>
  <c r="BR240" i="2" s="1"/>
  <c r="BS205" i="2"/>
  <c r="BV205" i="2" s="1"/>
  <c r="BW205" i="2" s="1"/>
  <c r="BT311" i="2"/>
  <c r="BR261" i="2"/>
  <c r="BR260" i="2" s="1"/>
  <c r="W260" i="2"/>
  <c r="Y251" i="2"/>
  <c r="BP321" i="2"/>
  <c r="BP293" i="2"/>
  <c r="BW256" i="2"/>
  <c r="BU256" i="2"/>
  <c r="BQ241" i="2"/>
  <c r="U240" i="2"/>
  <c r="AK378" i="2"/>
  <c r="AK359" i="2" s="1"/>
  <c r="AK272" i="2" s="1"/>
  <c r="AK271" i="2" s="1"/>
  <c r="AK3" i="2" s="1"/>
  <c r="BQ263" i="2"/>
  <c r="U262" i="2"/>
  <c r="BQ255" i="2"/>
  <c r="U254" i="2"/>
  <c r="BQ239" i="2"/>
  <c r="U238" i="2"/>
  <c r="BS341" i="2"/>
  <c r="BQ340" i="2"/>
  <c r="P311" i="2"/>
  <c r="Y311" i="2" s="1"/>
  <c r="BP281" i="2"/>
  <c r="BN279" i="2"/>
  <c r="BN264" i="2"/>
  <c r="BQ252" i="2"/>
  <c r="U251" i="2"/>
  <c r="BT247" i="2"/>
  <c r="BT246" i="2" s="1"/>
  <c r="V246" i="2"/>
  <c r="W207" i="2"/>
  <c r="BR209" i="2"/>
  <c r="BR207" i="2" s="1"/>
  <c r="BT198" i="2"/>
  <c r="BT197" i="2" s="1"/>
  <c r="V197" i="2"/>
  <c r="Q808" i="2"/>
  <c r="Z808" i="2" s="1"/>
  <c r="O815" i="2"/>
  <c r="X815" i="2" s="1"/>
  <c r="X105" i="2"/>
  <c r="BN251" i="2"/>
  <c r="Q186" i="2"/>
  <c r="Z186" i="2" s="1"/>
  <c r="Z187" i="2"/>
  <c r="BS79" i="2"/>
  <c r="BV79" i="2" s="1"/>
  <c r="BW79" i="2" s="1"/>
  <c r="U59" i="2"/>
  <c r="BQ60" i="2"/>
  <c r="BS36" i="2"/>
  <c r="BV36" i="2" s="1"/>
  <c r="BW36" i="2" s="1"/>
  <c r="O206" i="2"/>
  <c r="X206" i="2" s="1"/>
  <c r="X207" i="2"/>
  <c r="BS68" i="2"/>
  <c r="BV68" i="2" s="1"/>
  <c r="BW68" i="2" s="1"/>
  <c r="Q237" i="2"/>
  <c r="Z237" i="2" s="1"/>
  <c r="I227" i="2"/>
  <c r="J227" i="2"/>
  <c r="BR188" i="2"/>
  <c r="BR187" i="2" s="1"/>
  <c r="BR186" i="2" s="1"/>
  <c r="W187" i="2"/>
  <c r="BQ108" i="2"/>
  <c r="U107" i="2"/>
  <c r="W103" i="2"/>
  <c r="BR104" i="2"/>
  <c r="BR103" i="2" s="1"/>
  <c r="BS56" i="2"/>
  <c r="BV56" i="2" s="1"/>
  <c r="BW56" i="2" s="1"/>
  <c r="AL809" i="2"/>
  <c r="BP247" i="2"/>
  <c r="V152" i="2"/>
  <c r="S151" i="2"/>
  <c r="S811" i="2" s="1"/>
  <c r="L177" i="3" s="1"/>
  <c r="N177" i="3" s="1"/>
  <c r="BQ147" i="2"/>
  <c r="U146" i="2"/>
  <c r="J139" i="2"/>
  <c r="I139" i="2"/>
  <c r="BS132" i="2"/>
  <c r="BV132" i="2" s="1"/>
  <c r="BW132" i="2" s="1"/>
  <c r="Q816" i="2"/>
  <c r="Z816" i="2" s="1"/>
  <c r="Z107" i="2"/>
  <c r="BQ92" i="2"/>
  <c r="BW77" i="2"/>
  <c r="BU77" i="2"/>
  <c r="BS55" i="2"/>
  <c r="BV55" i="2" s="1"/>
  <c r="BW55" i="2" s="1"/>
  <c r="R46" i="2"/>
  <c r="V186" i="2"/>
  <c r="BU155" i="2"/>
  <c r="BU154" i="2" s="1"/>
  <c r="BP154" i="2"/>
  <c r="BR107" i="2"/>
  <c r="V91" i="2"/>
  <c r="P814" i="2"/>
  <c r="Y814" i="2" s="1"/>
  <c r="BU189" i="2"/>
  <c r="J176" i="2"/>
  <c r="I176" i="2"/>
  <c r="G175" i="2"/>
  <c r="P166" i="2"/>
  <c r="BL16" i="2"/>
  <c r="AB16" i="2"/>
  <c r="AF804" i="2"/>
  <c r="BC3" i="2"/>
  <c r="BC803" i="2" s="1"/>
  <c r="BU168" i="2"/>
  <c r="V107" i="2"/>
  <c r="BN86" i="2"/>
  <c r="S808" i="2"/>
  <c r="L174" i="3" s="1"/>
  <c r="N174" i="3" s="1"/>
  <c r="BW169" i="2"/>
  <c r="BU169" i="2"/>
  <c r="Q141" i="2"/>
  <c r="Z141" i="2" s="1"/>
  <c r="Z142" i="2"/>
  <c r="BO128" i="2"/>
  <c r="BO815" i="2" s="1"/>
  <c r="Q815" i="2"/>
  <c r="Z815" i="2" s="1"/>
  <c r="R197" i="3"/>
  <c r="J194" i="2"/>
  <c r="I194" i="2"/>
  <c r="Q175" i="2"/>
  <c r="Z175" i="2" s="1"/>
  <c r="S166" i="2"/>
  <c r="P146" i="2"/>
  <c r="BW119" i="2"/>
  <c r="BU119" i="2"/>
  <c r="BP94" i="2"/>
  <c r="BW24" i="2"/>
  <c r="BU24" i="2"/>
  <c r="BW8" i="2"/>
  <c r="BU8" i="2"/>
  <c r="BG804" i="2"/>
  <c r="Q805" i="2"/>
  <c r="W197" i="2"/>
  <c r="BR198" i="2"/>
  <c r="BR197" i="2" s="1"/>
  <c r="J162" i="2"/>
  <c r="I162" i="2"/>
  <c r="BU147" i="2"/>
  <c r="BU146" i="2" s="1"/>
  <c r="BP146" i="2"/>
  <c r="BU79" i="2"/>
  <c r="S46" i="2"/>
  <c r="S809" i="2" s="1"/>
  <c r="L175" i="3" s="1"/>
  <c r="I18" i="2"/>
  <c r="G17" i="2"/>
  <c r="BU177" i="2"/>
  <c r="BP176" i="2"/>
  <c r="V5" i="2"/>
  <c r="V4" i="2" s="1"/>
  <c r="R807" i="2"/>
  <c r="BR166" i="2"/>
  <c r="T807" i="2"/>
  <c r="U197" i="3"/>
  <c r="BP774" i="2"/>
  <c r="BN773" i="2"/>
  <c r="BN817" i="2" s="1"/>
  <c r="BU769" i="2"/>
  <c r="BW775" i="2"/>
  <c r="BU775" i="2"/>
  <c r="BS728" i="2"/>
  <c r="BV728" i="2" s="1"/>
  <c r="BW728" i="2" s="1"/>
  <c r="BR746" i="2"/>
  <c r="BR745" i="2" s="1"/>
  <c r="BR744" i="2" s="1"/>
  <c r="W745" i="2"/>
  <c r="W744" i="2" s="1"/>
  <c r="BW732" i="2"/>
  <c r="BU732" i="2"/>
  <c r="BS703" i="2"/>
  <c r="BV703" i="2" s="1"/>
  <c r="BW703" i="2" s="1"/>
  <c r="BN762" i="2"/>
  <c r="P740" i="2"/>
  <c r="Y740" i="2" s="1"/>
  <c r="BW750" i="2"/>
  <c r="BU750" i="2"/>
  <c r="BS742" i="2"/>
  <c r="BV742" i="2" s="1"/>
  <c r="BW742" i="2" s="1"/>
  <c r="BN720" i="2"/>
  <c r="BP721" i="2"/>
  <c r="BR706" i="2"/>
  <c r="BR705" i="2" s="1"/>
  <c r="W705" i="2"/>
  <c r="BW691" i="2"/>
  <c r="BU691" i="2"/>
  <c r="BS729" i="2"/>
  <c r="BV729" i="2" s="1"/>
  <c r="BW729" i="2" s="1"/>
  <c r="G711" i="2"/>
  <c r="J712" i="2"/>
  <c r="I712" i="2"/>
  <c r="BU700" i="2"/>
  <c r="BW700" i="2"/>
  <c r="BW731" i="2"/>
  <c r="BW714" i="2"/>
  <c r="BU714" i="2"/>
  <c r="BW715" i="2"/>
  <c r="BU715" i="2"/>
  <c r="I697" i="2"/>
  <c r="J697" i="2"/>
  <c r="V725" i="2"/>
  <c r="BR707" i="2"/>
  <c r="BS652" i="2"/>
  <c r="BV652" i="2" s="1"/>
  <c r="BW652" i="2" s="1"/>
  <c r="W712" i="2"/>
  <c r="BR713" i="2"/>
  <c r="BR712" i="2" s="1"/>
  <c r="BU702" i="2"/>
  <c r="U609" i="2"/>
  <c r="BQ610" i="2"/>
  <c r="BW665" i="2"/>
  <c r="BU665" i="2"/>
  <c r="BW630" i="2"/>
  <c r="BU630" i="2"/>
  <c r="BU676" i="2"/>
  <c r="BW676" i="2"/>
  <c r="BN643" i="2"/>
  <c r="X643" i="2"/>
  <c r="O637" i="2"/>
  <c r="X637" i="2" s="1"/>
  <c r="U643" i="2"/>
  <c r="BQ643" i="2" s="1"/>
  <c r="BS643" i="2" s="1"/>
  <c r="BV643" i="2" s="1"/>
  <c r="J643" i="2"/>
  <c r="V637" i="2"/>
  <c r="BT639" i="2"/>
  <c r="W632" i="2"/>
  <c r="BR633" i="2"/>
  <c r="BR632" i="2" s="1"/>
  <c r="BQ626" i="2"/>
  <c r="U625" i="2"/>
  <c r="BT620" i="2"/>
  <c r="BT619" i="2" s="1"/>
  <c r="BT618" i="2" s="1"/>
  <c r="V619" i="2"/>
  <c r="V618" i="2" s="1"/>
  <c r="Q605" i="2"/>
  <c r="Z605" i="2" s="1"/>
  <c r="Z606" i="2"/>
  <c r="U633" i="2"/>
  <c r="W593" i="2"/>
  <c r="BQ571" i="2"/>
  <c r="U570" i="2"/>
  <c r="U556" i="2"/>
  <c r="BQ557" i="2"/>
  <c r="S637" i="2"/>
  <c r="J624" i="2"/>
  <c r="I624" i="2"/>
  <c r="W606" i="2"/>
  <c r="BR607" i="2"/>
  <c r="BR606" i="2" s="1"/>
  <c r="BR605" i="2" s="1"/>
  <c r="BW586" i="2"/>
  <c r="BU586" i="2"/>
  <c r="BW549" i="2"/>
  <c r="BU549" i="2"/>
  <c r="BS661" i="2"/>
  <c r="BV661" i="2" s="1"/>
  <c r="BU599" i="2"/>
  <c r="BW599" i="2"/>
  <c r="BS583" i="2"/>
  <c r="BV583" i="2" s="1"/>
  <c r="V550" i="2"/>
  <c r="BT551" i="2"/>
  <c r="BT550" i="2" s="1"/>
  <c r="BP581" i="2"/>
  <c r="BU582" i="2"/>
  <c r="BP577" i="2"/>
  <c r="BU578" i="2"/>
  <c r="P580" i="2"/>
  <c r="Y580" i="2" s="1"/>
  <c r="Y581" i="2"/>
  <c r="O543" i="2"/>
  <c r="X543" i="2" s="1"/>
  <c r="X544" i="2"/>
  <c r="J519" i="2"/>
  <c r="I519" i="2"/>
  <c r="BQ502" i="2"/>
  <c r="U501" i="2"/>
  <c r="O566" i="2"/>
  <c r="X567" i="2"/>
  <c r="J582" i="2"/>
  <c r="I582" i="2"/>
  <c r="G581" i="2"/>
  <c r="BR559" i="2"/>
  <c r="BO491" i="2"/>
  <c r="BO490" i="2" s="1"/>
  <c r="BO489" i="2" s="1"/>
  <c r="V544" i="2"/>
  <c r="BT545" i="2"/>
  <c r="BT544" i="2" s="1"/>
  <c r="BQ533" i="2"/>
  <c r="U532" i="2"/>
  <c r="BU521" i="2"/>
  <c r="BW521" i="2"/>
  <c r="BO501" i="2"/>
  <c r="BP626" i="2"/>
  <c r="V570" i="2"/>
  <c r="J544" i="2"/>
  <c r="G543" i="2"/>
  <c r="I544" i="2"/>
  <c r="AF529" i="2"/>
  <c r="BJ529" i="2"/>
  <c r="U526" i="2"/>
  <c r="BQ527" i="2"/>
  <c r="Z581" i="2"/>
  <c r="Q580" i="2"/>
  <c r="Z580" i="2" s="1"/>
  <c r="BP542" i="2"/>
  <c r="BN541" i="2"/>
  <c r="BS473" i="2"/>
  <c r="BV473" i="2" s="1"/>
  <c r="X516" i="2"/>
  <c r="O515" i="2"/>
  <c r="X515" i="2" s="1"/>
  <c r="BO481" i="2"/>
  <c r="BU463" i="2"/>
  <c r="BQ459" i="2"/>
  <c r="U458" i="2"/>
  <c r="V471" i="2"/>
  <c r="BS465" i="2"/>
  <c r="BV465" i="2" s="1"/>
  <c r="BW465" i="2" s="1"/>
  <c r="J460" i="2"/>
  <c r="I460" i="2"/>
  <c r="BN519" i="2"/>
  <c r="BQ424" i="2"/>
  <c r="U423" i="2"/>
  <c r="BP392" i="2"/>
  <c r="BN391" i="2"/>
  <c r="BP369" i="2"/>
  <c r="BN368" i="2"/>
  <c r="Q559" i="2"/>
  <c r="Z559" i="2" s="1"/>
  <c r="BW437" i="2"/>
  <c r="BU437" i="2"/>
  <c r="BR380" i="2"/>
  <c r="BR379" i="2" s="1"/>
  <c r="BR378" i="2" s="1"/>
  <c r="W379" i="2"/>
  <c r="W378" i="2" s="1"/>
  <c r="BP354" i="2"/>
  <c r="BN353" i="2"/>
  <c r="BR344" i="2"/>
  <c r="BR343" i="2" s="1"/>
  <c r="W343" i="2"/>
  <c r="X401" i="2"/>
  <c r="O400" i="2"/>
  <c r="X400" i="2" s="1"/>
  <c r="P385" i="2"/>
  <c r="Y386" i="2"/>
  <c r="U343" i="2"/>
  <c r="BQ344" i="2"/>
  <c r="BN491" i="2"/>
  <c r="BW409" i="2"/>
  <c r="BU409" i="2"/>
  <c r="BP331" i="2"/>
  <c r="BN330" i="2"/>
  <c r="BN329" i="2" s="1"/>
  <c r="BP570" i="2"/>
  <c r="BU571" i="2"/>
  <c r="BU438" i="2"/>
  <c r="BW438" i="2"/>
  <c r="BW428" i="2"/>
  <c r="BO394" i="2"/>
  <c r="BP395" i="2"/>
  <c r="V357" i="2"/>
  <c r="BT358" i="2"/>
  <c r="BT357" i="2" s="1"/>
  <c r="W340" i="2"/>
  <c r="BR316" i="2"/>
  <c r="BR315" i="2" s="1"/>
  <c r="W315" i="2"/>
  <c r="BW411" i="2"/>
  <c r="BU411" i="2"/>
  <c r="BN350" i="2"/>
  <c r="W333" i="2"/>
  <c r="BR334" i="2"/>
  <c r="BR333" i="2" s="1"/>
  <c r="BQ481" i="2"/>
  <c r="BU387" i="2"/>
  <c r="BP386" i="2"/>
  <c r="X312" i="2"/>
  <c r="O311" i="2"/>
  <c r="X311" i="2" s="1"/>
  <c r="W292" i="2"/>
  <c r="P259" i="2"/>
  <c r="Y259" i="2" s="1"/>
  <c r="Y260" i="2"/>
  <c r="Q250" i="2"/>
  <c r="Z250" i="2" s="1"/>
  <c r="Z251" i="2"/>
  <c r="P237" i="2"/>
  <c r="Y237" i="2" s="1"/>
  <c r="Y238" i="2"/>
  <c r="U227" i="2"/>
  <c r="BQ228" i="2"/>
  <c r="O259" i="2"/>
  <c r="X259" i="2" s="1"/>
  <c r="X260" i="2"/>
  <c r="O250" i="2"/>
  <c r="X250" i="2" s="1"/>
  <c r="BR239" i="2"/>
  <c r="BR238" i="2" s="1"/>
  <c r="W238" i="2"/>
  <c r="G311" i="2"/>
  <c r="BW236" i="2"/>
  <c r="BU236" i="2"/>
  <c r="BT259" i="2"/>
  <c r="J251" i="2"/>
  <c r="I251" i="2"/>
  <c r="G250" i="2"/>
  <c r="W264" i="2"/>
  <c r="BQ167" i="2"/>
  <c r="U166" i="2"/>
  <c r="BW225" i="2"/>
  <c r="BU225" i="2"/>
  <c r="Q806" i="2"/>
  <c r="U113" i="2"/>
  <c r="BQ114" i="2"/>
  <c r="P811" i="2"/>
  <c r="Y811" i="2" s="1"/>
  <c r="Y86" i="2"/>
  <c r="BU56" i="2"/>
  <c r="BP152" i="2"/>
  <c r="BN151" i="2"/>
  <c r="BP129" i="2"/>
  <c r="BN128" i="2"/>
  <c r="BS65" i="2"/>
  <c r="BV65" i="2" s="1"/>
  <c r="BN282" i="2"/>
  <c r="U151" i="2"/>
  <c r="BQ152" i="2"/>
  <c r="BW134" i="2"/>
  <c r="BU134" i="2"/>
  <c r="BW99" i="2"/>
  <c r="BU99" i="2"/>
  <c r="X93" i="2"/>
  <c r="BN93" i="2"/>
  <c r="O91" i="2"/>
  <c r="BW64" i="2"/>
  <c r="BU64" i="2"/>
  <c r="BP280" i="2"/>
  <c r="BN246" i="2"/>
  <c r="BO227" i="2"/>
  <c r="BO812" i="2" s="1"/>
  <c r="BO199" i="2"/>
  <c r="BO808" i="2" s="1"/>
  <c r="BP200" i="2"/>
  <c r="BQ188" i="2"/>
  <c r="U187" i="2"/>
  <c r="U186" i="2" s="1"/>
  <c r="J146" i="2"/>
  <c r="I146" i="2"/>
  <c r="BR130" i="2"/>
  <c r="BR128" i="2" s="1"/>
  <c r="BR815" i="2" s="1"/>
  <c r="W128" i="2"/>
  <c r="W815" i="2" s="1"/>
  <c r="G812" i="2"/>
  <c r="J91" i="2"/>
  <c r="I91" i="2"/>
  <c r="BS39" i="2"/>
  <c r="BV39" i="2" s="1"/>
  <c r="BW30" i="2"/>
  <c r="BU30" i="2"/>
  <c r="W201" i="2"/>
  <c r="BR202" i="2"/>
  <c r="BR201" i="2" s="1"/>
  <c r="BS195" i="2"/>
  <c r="BV195" i="2" s="1"/>
  <c r="BW195" i="2" s="1"/>
  <c r="BU188" i="2"/>
  <c r="BP187" i="2"/>
  <c r="BQ177" i="2"/>
  <c r="U176" i="2"/>
  <c r="BT129" i="2"/>
  <c r="BT128" i="2" s="1"/>
  <c r="BT815" i="2" s="1"/>
  <c r="V128" i="2"/>
  <c r="V815" i="2" s="1"/>
  <c r="BU92" i="2"/>
  <c r="P809" i="2"/>
  <c r="Y809" i="2" s="1"/>
  <c r="Y46" i="2"/>
  <c r="BQ22" i="2"/>
  <c r="BU60" i="2"/>
  <c r="BP59" i="2"/>
  <c r="P12" i="2"/>
  <c r="Y12" i="2" s="1"/>
  <c r="Y13" i="2"/>
  <c r="BJ804" i="2"/>
  <c r="AW3" i="2"/>
  <c r="AW803" i="2" s="1"/>
  <c r="R206" i="2"/>
  <c r="R157" i="2" s="1"/>
  <c r="BS185" i="2"/>
  <c r="BV185" i="2" s="1"/>
  <c r="BW185" i="2" s="1"/>
  <c r="BU181" i="2"/>
  <c r="BU180" i="2" s="1"/>
  <c r="BP180" i="2"/>
  <c r="T157" i="2"/>
  <c r="I117" i="2"/>
  <c r="J117" i="2"/>
  <c r="BT813" i="2"/>
  <c r="BP87" i="2"/>
  <c r="BW67" i="2"/>
  <c r="BU67" i="2"/>
  <c r="G810" i="2"/>
  <c r="I59" i="2"/>
  <c r="J59" i="2"/>
  <c r="W46" i="2"/>
  <c r="S805" i="2"/>
  <c r="S5" i="2"/>
  <c r="S4" i="2" s="1"/>
  <c r="E186" i="2"/>
  <c r="E157" i="2" s="1"/>
  <c r="BO121" i="2"/>
  <c r="Y78" i="2"/>
  <c r="P59" i="2"/>
  <c r="BW25" i="2"/>
  <c r="BU25" i="2"/>
  <c r="S197" i="3"/>
  <c r="BW172" i="2"/>
  <c r="BU172" i="2"/>
  <c r="BU164" i="2"/>
  <c r="BW164" i="2"/>
  <c r="Z117" i="2"/>
  <c r="Q112" i="2"/>
  <c r="Z112" i="2" s="1"/>
  <c r="BN97" i="2"/>
  <c r="BW61" i="2"/>
  <c r="BU61" i="2"/>
  <c r="BS35" i="2"/>
  <c r="BV35" i="2" s="1"/>
  <c r="BA804" i="2"/>
  <c r="K805" i="2"/>
  <c r="BO197" i="2"/>
  <c r="BP198" i="2"/>
  <c r="V176" i="2"/>
  <c r="V175" i="2" s="1"/>
  <c r="BN146" i="2"/>
  <c r="S813" i="2"/>
  <c r="L179" i="3" s="1"/>
  <c r="BP23" i="2"/>
  <c r="BR7" i="2"/>
  <c r="BR6" i="2" s="1"/>
  <c r="W6" i="2"/>
  <c r="BN176" i="2"/>
  <c r="BN175" i="2" s="1"/>
  <c r="BT5" i="2"/>
  <c r="BT4" i="2" s="1"/>
  <c r="AD17" i="2"/>
  <c r="AD16" i="2" s="1"/>
  <c r="BU14" i="2"/>
  <c r="BO745" i="2"/>
  <c r="BO744" i="2" s="1"/>
  <c r="BP746" i="2"/>
  <c r="BQ721" i="2"/>
  <c r="U720" i="2"/>
  <c r="BQ698" i="2"/>
  <c r="R711" i="2"/>
  <c r="X712" i="2"/>
  <c r="BQ694" i="2"/>
  <c r="BW684" i="2"/>
  <c r="BU684" i="2"/>
  <c r="X745" i="2"/>
  <c r="O744" i="2"/>
  <c r="X744" i="2" s="1"/>
  <c r="BW674" i="2"/>
  <c r="BU674" i="2"/>
  <c r="BW656" i="2"/>
  <c r="BU656" i="2"/>
  <c r="BW654" i="2"/>
  <c r="BU654" i="2"/>
  <c r="BS639" i="2"/>
  <c r="BV639" i="2" s="1"/>
  <c r="X625" i="2"/>
  <c r="O624" i="2"/>
  <c r="X624" i="2" s="1"/>
  <c r="BW614" i="2"/>
  <c r="BU614" i="2"/>
  <c r="BU601" i="2"/>
  <c r="BW601" i="2"/>
  <c r="I632" i="2"/>
  <c r="G631" i="2"/>
  <c r="AM631" i="2"/>
  <c r="AM529" i="2" s="1"/>
  <c r="BN590" i="2"/>
  <c r="BP591" i="2"/>
  <c r="BP661" i="2"/>
  <c r="BP596" i="2"/>
  <c r="BU597" i="2"/>
  <c r="X581" i="2"/>
  <c r="O580" i="2"/>
  <c r="X580" i="2" s="1"/>
  <c r="U615" i="2"/>
  <c r="BQ616" i="2"/>
  <c r="BU579" i="2"/>
  <c r="R565" i="2"/>
  <c r="J535" i="2"/>
  <c r="I535" i="2"/>
  <c r="BS572" i="2"/>
  <c r="BV572" i="2" s="1"/>
  <c r="BW572" i="2" s="1"/>
  <c r="AT529" i="2"/>
  <c r="AT3" i="2" s="1"/>
  <c r="J593" i="2"/>
  <c r="I593" i="2"/>
  <c r="BR571" i="2"/>
  <c r="BR570" i="2" s="1"/>
  <c r="W570" i="2"/>
  <c r="BO530" i="2"/>
  <c r="BS519" i="2"/>
  <c r="BV520" i="2"/>
  <c r="BV519" i="2" s="1"/>
  <c r="BU558" i="2"/>
  <c r="BW558" i="2"/>
  <c r="X539" i="2"/>
  <c r="J539" i="2"/>
  <c r="X532" i="2"/>
  <c r="O531" i="2"/>
  <c r="AG529" i="2"/>
  <c r="J501" i="2"/>
  <c r="I501" i="2"/>
  <c r="J481" i="2"/>
  <c r="I481" i="2"/>
  <c r="BN624" i="2"/>
  <c r="P566" i="2"/>
  <c r="E529" i="2"/>
  <c r="AX529" i="2"/>
  <c r="BW497" i="2"/>
  <c r="BU497" i="2"/>
  <c r="Y491" i="2"/>
  <c r="P490" i="2"/>
  <c r="BU473" i="2"/>
  <c r="BW473" i="2"/>
  <c r="W581" i="2"/>
  <c r="W580" i="2" s="1"/>
  <c r="BR582" i="2"/>
  <c r="BR581" i="2" s="1"/>
  <c r="X541" i="2"/>
  <c r="J541" i="2"/>
  <c r="G515" i="2"/>
  <c r="BR472" i="2"/>
  <c r="BR471" i="2" s="1"/>
  <c r="W471" i="2"/>
  <c r="BN516" i="2"/>
  <c r="BP517" i="2"/>
  <c r="BU442" i="2"/>
  <c r="BW442" i="2"/>
  <c r="BV492" i="2"/>
  <c r="BR424" i="2"/>
  <c r="BR423" i="2" s="1"/>
  <c r="W423" i="2"/>
  <c r="J350" i="2"/>
  <c r="G349" i="2"/>
  <c r="I350" i="2"/>
  <c r="V552" i="2"/>
  <c r="BT553" i="2"/>
  <c r="BT552" i="2" s="1"/>
  <c r="BW435" i="2"/>
  <c r="BU435" i="2"/>
  <c r="G420" i="2"/>
  <c r="I526" i="2"/>
  <c r="J526" i="2"/>
  <c r="W501" i="2"/>
  <c r="G490" i="2"/>
  <c r="BU464" i="2"/>
  <c r="BW464" i="2"/>
  <c r="BU450" i="2"/>
  <c r="BW450" i="2"/>
  <c r="BR422" i="2"/>
  <c r="BR421" i="2" s="1"/>
  <c r="W421" i="2"/>
  <c r="BQ408" i="2"/>
  <c r="U407" i="2"/>
  <c r="U391" i="2"/>
  <c r="BQ392" i="2"/>
  <c r="U368" i="2"/>
  <c r="BQ369" i="2"/>
  <c r="BR361" i="2"/>
  <c r="BR360" i="2" s="1"/>
  <c r="W360" i="2"/>
  <c r="BW503" i="2"/>
  <c r="BU503" i="2"/>
  <c r="BT487" i="2"/>
  <c r="BT486" i="2" s="1"/>
  <c r="BT485" i="2" s="1"/>
  <c r="V486" i="2"/>
  <c r="V485" i="2" s="1"/>
  <c r="BP480" i="2"/>
  <c r="BN479" i="2"/>
  <c r="BP410" i="2"/>
  <c r="BN407" i="2"/>
  <c r="BN406" i="2" s="1"/>
  <c r="BW397" i="2"/>
  <c r="BU397" i="2"/>
  <c r="BR387" i="2"/>
  <c r="BR386" i="2" s="1"/>
  <c r="W386" i="2"/>
  <c r="BO359" i="2"/>
  <c r="BQ354" i="2"/>
  <c r="U353" i="2"/>
  <c r="I368" i="2"/>
  <c r="J368" i="2"/>
  <c r="W490" i="2"/>
  <c r="W489" i="2" s="1"/>
  <c r="Q319" i="2"/>
  <c r="Z319" i="2" s="1"/>
  <c r="Z320" i="2"/>
  <c r="BQ305" i="2"/>
  <c r="U304" i="2"/>
  <c r="BP523" i="2"/>
  <c r="BN522" i="2"/>
  <c r="V423" i="2"/>
  <c r="BU419" i="2"/>
  <c r="BU418" i="2" s="1"/>
  <c r="BP418" i="2"/>
  <c r="BP377" i="2"/>
  <c r="BP374" i="2" s="1"/>
  <c r="Z340" i="2"/>
  <c r="Q339" i="2"/>
  <c r="Z339" i="2" s="1"/>
  <c r="X330" i="2"/>
  <c r="O329" i="2"/>
  <c r="U292" i="2"/>
  <c r="BQ293" i="2"/>
  <c r="BO407" i="2"/>
  <c r="BO406" i="2" s="1"/>
  <c r="BO391" i="2"/>
  <c r="BP393" i="2"/>
  <c r="BR340" i="2"/>
  <c r="BR339" i="2" s="1"/>
  <c r="BW299" i="2"/>
  <c r="BU299" i="2"/>
  <c r="BU527" i="2"/>
  <c r="BU526" i="2" s="1"/>
  <c r="BP526" i="2"/>
  <c r="BO460" i="2"/>
  <c r="W407" i="2"/>
  <c r="W406" i="2" s="1"/>
  <c r="BR408" i="2"/>
  <c r="BR407" i="2" s="1"/>
  <c r="BR406" i="2" s="1"/>
  <c r="BT371" i="2"/>
  <c r="BT370" i="2" s="1"/>
  <c r="BT359" i="2" s="1"/>
  <c r="V370" i="2"/>
  <c r="I366" i="2"/>
  <c r="J366" i="2"/>
  <c r="J324" i="2"/>
  <c r="I324" i="2"/>
  <c r="BR296" i="2"/>
  <c r="BR295" i="2" s="1"/>
  <c r="W295" i="2"/>
  <c r="BW287" i="2"/>
  <c r="BU287" i="2"/>
  <c r="BV482" i="2"/>
  <c r="BV481" i="2" s="1"/>
  <c r="BS481" i="2"/>
  <c r="BN386" i="2"/>
  <c r="BU380" i="2"/>
  <c r="BU379" i="2" s="1"/>
  <c r="BP379" i="2"/>
  <c r="W329" i="2"/>
  <c r="BQ321" i="2"/>
  <c r="U320" i="2"/>
  <c r="U319" i="2" s="1"/>
  <c r="BU309" i="2"/>
  <c r="BP308" i="2"/>
  <c r="BW309" i="2"/>
  <c r="BW308" i="2" s="1"/>
  <c r="BQ280" i="2"/>
  <c r="U279" i="2"/>
  <c r="BW326" i="2"/>
  <c r="BU326" i="2"/>
  <c r="BQ247" i="2"/>
  <c r="U246" i="2"/>
  <c r="BR292" i="2"/>
  <c r="AM271" i="2"/>
  <c r="AM3" i="2" s="1"/>
  <c r="AM803" i="2" s="1"/>
  <c r="BQ330" i="2"/>
  <c r="BS331" i="2"/>
  <c r="O237" i="2"/>
  <c r="X237" i="2" s="1"/>
  <c r="X238" i="2"/>
  <c r="BU316" i="2"/>
  <c r="BU315" i="2" s="1"/>
  <c r="BP315" i="2"/>
  <c r="E311" i="2"/>
  <c r="E272" i="2" s="1"/>
  <c r="E271" i="2" s="1"/>
  <c r="W282" i="2"/>
  <c r="W394" i="2"/>
  <c r="J315" i="2"/>
  <c r="I315" i="2"/>
  <c r="BU300" i="2"/>
  <c r="BW300" i="2"/>
  <c r="BP261" i="2"/>
  <c r="BN260" i="2"/>
  <c r="BW253" i="2"/>
  <c r="BU253" i="2"/>
  <c r="BR247" i="2"/>
  <c r="BR246" i="2" s="1"/>
  <c r="W246" i="2"/>
  <c r="V282" i="2"/>
  <c r="BS267" i="2"/>
  <c r="BV267" i="2" s="1"/>
  <c r="BT245" i="2"/>
  <c r="BT244" i="2" s="1"/>
  <c r="V244" i="2"/>
  <c r="V237" i="2" s="1"/>
  <c r="BQ202" i="2"/>
  <c r="U201" i="2"/>
  <c r="BR264" i="2"/>
  <c r="K806" i="2"/>
  <c r="X806" i="2" s="1"/>
  <c r="P806" i="2"/>
  <c r="Y806" i="2" s="1"/>
  <c r="P151" i="2"/>
  <c r="Y151" i="2" s="1"/>
  <c r="Y152" i="2"/>
  <c r="U128" i="2"/>
  <c r="BQ129" i="2"/>
  <c r="BU216" i="2"/>
  <c r="BW216" i="2"/>
  <c r="BP150" i="2"/>
  <c r="BN149" i="2"/>
  <c r="BR122" i="2"/>
  <c r="BR121" i="2" s="1"/>
  <c r="W121" i="2"/>
  <c r="BR92" i="2"/>
  <c r="BR91" i="2" s="1"/>
  <c r="W91" i="2"/>
  <c r="AR811" i="2"/>
  <c r="N809" i="2"/>
  <c r="BW32" i="2"/>
  <c r="BU32" i="2"/>
  <c r="J240" i="2"/>
  <c r="I240" i="2"/>
  <c r="G237" i="2"/>
  <c r="J199" i="2"/>
  <c r="I199" i="2"/>
  <c r="J187" i="2"/>
  <c r="I187" i="2"/>
  <c r="BP160" i="2"/>
  <c r="BN159" i="2"/>
  <c r="BN158" i="2" s="1"/>
  <c r="BN144" i="2"/>
  <c r="BN141" i="2" s="1"/>
  <c r="BP145" i="2"/>
  <c r="BQ122" i="2"/>
  <c r="U121" i="2"/>
  <c r="X113" i="2"/>
  <c r="P815" i="2"/>
  <c r="Y815" i="2" s="1"/>
  <c r="Y105" i="2"/>
  <c r="BS81" i="2"/>
  <c r="BV81" i="2" s="1"/>
  <c r="BW81" i="2" s="1"/>
  <c r="BS62" i="2"/>
  <c r="BV62" i="2" s="1"/>
  <c r="BW62" i="2" s="1"/>
  <c r="BW37" i="2"/>
  <c r="BU37" i="2"/>
  <c r="BO201" i="2"/>
  <c r="BP202" i="2"/>
  <c r="BU193" i="2"/>
  <c r="BN186" i="2"/>
  <c r="X176" i="2"/>
  <c r="O175" i="2"/>
  <c r="X175" i="2" s="1"/>
  <c r="BW148" i="2"/>
  <c r="BU148" i="2"/>
  <c r="BO97" i="2"/>
  <c r="BO813" i="2" s="1"/>
  <c r="BP102" i="2"/>
  <c r="BK804" i="2"/>
  <c r="AG805" i="2"/>
  <c r="AG804" i="2" s="1"/>
  <c r="X158" i="2"/>
  <c r="P813" i="2"/>
  <c r="Y813" i="2" s="1"/>
  <c r="Y97" i="2"/>
  <c r="BN59" i="2"/>
  <c r="BD804" i="2"/>
  <c r="T805" i="2"/>
  <c r="AQ3" i="2"/>
  <c r="AQ803" i="2" s="1"/>
  <c r="BS160" i="2"/>
  <c r="BQ159" i="2"/>
  <c r="BN104" i="2"/>
  <c r="X104" i="2"/>
  <c r="U104" i="2"/>
  <c r="O103" i="2"/>
  <c r="X103" i="2" s="1"/>
  <c r="BU78" i="2"/>
  <c r="BW78" i="2"/>
  <c r="BR46" i="2"/>
  <c r="P17" i="2"/>
  <c r="Y18" i="2"/>
  <c r="AD3" i="2"/>
  <c r="AD803" i="2" s="1"/>
  <c r="W162" i="2"/>
  <c r="BU114" i="2"/>
  <c r="BU113" i="2" s="1"/>
  <c r="BP113" i="2"/>
  <c r="S816" i="2"/>
  <c r="L182" i="3" s="1"/>
  <c r="N182" i="3" s="1"/>
  <c r="BP15" i="2"/>
  <c r="BP13" i="2" s="1"/>
  <c r="BP12" i="2" s="1"/>
  <c r="BW9" i="2"/>
  <c r="BU9" i="2"/>
  <c r="BU136" i="2"/>
  <c r="BW136" i="2"/>
  <c r="G112" i="2"/>
  <c r="I113" i="2"/>
  <c r="J113" i="2"/>
  <c r="BU98" i="2"/>
  <c r="Q810" i="2"/>
  <c r="Z810" i="2" s="1"/>
  <c r="Z59" i="2"/>
  <c r="BU50" i="2"/>
  <c r="BW50" i="2"/>
  <c r="BQ14" i="2"/>
  <c r="U13" i="2"/>
  <c r="U12" i="2" s="1"/>
  <c r="BO5" i="2"/>
  <c r="BO4" i="2" s="1"/>
  <c r="AU804" i="2"/>
  <c r="E805" i="2"/>
  <c r="BW174" i="2"/>
  <c r="BU174" i="2"/>
  <c r="I115" i="2"/>
  <c r="J115" i="2"/>
  <c r="BS23" i="2"/>
  <c r="BV23" i="2" s="1"/>
  <c r="BO175" i="2"/>
  <c r="BP167" i="2"/>
  <c r="BW57" i="2"/>
  <c r="BU57" i="2"/>
  <c r="I5" i="2"/>
  <c r="X6" i="2"/>
  <c r="O5" i="2"/>
  <c r="J5" i="2" s="1"/>
  <c r="L17" i="2"/>
  <c r="L16" i="2" s="1"/>
  <c r="U6" i="2"/>
  <c r="BQ7" i="2"/>
  <c r="BW80" i="2"/>
  <c r="BU80" i="2"/>
  <c r="AX3" i="2"/>
  <c r="W773" i="2"/>
  <c r="W817" i="2" s="1"/>
  <c r="BR774" i="2"/>
  <c r="BR773" i="2" s="1"/>
  <c r="BR817" i="2" s="1"/>
  <c r="Q817" i="2"/>
  <c r="Z773" i="2"/>
  <c r="Z817" i="2" s="1"/>
  <c r="BQ746" i="2"/>
  <c r="U745" i="2"/>
  <c r="P817" i="2"/>
  <c r="Y773" i="2"/>
  <c r="Y817" i="2" s="1"/>
  <c r="U757" i="2"/>
  <c r="BQ758" i="2"/>
  <c r="BP760" i="2"/>
  <c r="BN759" i="2"/>
  <c r="BW748" i="2"/>
  <c r="BU748" i="2"/>
  <c r="BP726" i="2"/>
  <c r="BN725" i="2"/>
  <c r="I740" i="2"/>
  <c r="J740" i="2"/>
  <c r="I773" i="2"/>
  <c r="I817" i="2" s="1"/>
  <c r="BT746" i="2"/>
  <c r="BT745" i="2" s="1"/>
  <c r="BT744" i="2" s="1"/>
  <c r="V745" i="2"/>
  <c r="V744" i="2" s="1"/>
  <c r="BW701" i="2"/>
  <c r="BU701" i="2"/>
  <c r="BU758" i="2"/>
  <c r="BU757" i="2" s="1"/>
  <c r="BP757" i="2"/>
  <c r="BU710" i="2"/>
  <c r="BW710" i="2"/>
  <c r="BR725" i="2"/>
  <c r="U707" i="2"/>
  <c r="BQ708" i="2"/>
  <c r="BU724" i="2"/>
  <c r="BW724" i="2"/>
  <c r="BU713" i="2"/>
  <c r="BU712" i="2" s="1"/>
  <c r="BP712" i="2"/>
  <c r="X693" i="2"/>
  <c r="BO712" i="2"/>
  <c r="BO711" i="2" s="1"/>
  <c r="BO697" i="2"/>
  <c r="BW672" i="2"/>
  <c r="BU672" i="2"/>
  <c r="W637" i="2"/>
  <c r="BR638" i="2"/>
  <c r="BR637" i="2" s="1"/>
  <c r="Q624" i="2"/>
  <c r="Z624" i="2" s="1"/>
  <c r="Z625" i="2"/>
  <c r="I707" i="2"/>
  <c r="J707" i="2"/>
  <c r="BR628" i="2"/>
  <c r="BR627" i="2" s="1"/>
  <c r="W627" i="2"/>
  <c r="BQ582" i="2"/>
  <c r="U581" i="2"/>
  <c r="BN634" i="2"/>
  <c r="BP634" i="2" s="1"/>
  <c r="X634" i="2"/>
  <c r="BU663" i="2"/>
  <c r="BW663" i="2"/>
  <c r="BP613" i="2"/>
  <c r="BN645" i="2"/>
  <c r="BP645" i="2" s="1"/>
  <c r="X645" i="2"/>
  <c r="BP636" i="2"/>
  <c r="BN606" i="2"/>
  <c r="BP607" i="2"/>
  <c r="BQ564" i="2"/>
  <c r="U563" i="2"/>
  <c r="U645" i="2"/>
  <c r="BQ645" i="2" s="1"/>
  <c r="BS645" i="2" s="1"/>
  <c r="BV645" i="2" s="1"/>
  <c r="W609" i="2"/>
  <c r="BU653" i="2"/>
  <c r="BW653" i="2"/>
  <c r="BQ628" i="2"/>
  <c r="U627" i="2"/>
  <c r="BQ597" i="2"/>
  <c r="U596" i="2"/>
  <c r="BN552" i="2"/>
  <c r="BP553" i="2"/>
  <c r="BP545" i="2"/>
  <c r="BN544" i="2"/>
  <c r="T565" i="2"/>
  <c r="T529" i="2" s="1"/>
  <c r="Y544" i="2"/>
  <c r="P543" i="2"/>
  <c r="Y543" i="2" s="1"/>
  <c r="BS589" i="2"/>
  <c r="BQ588" i="2"/>
  <c r="BU575" i="2"/>
  <c r="BW575" i="2"/>
  <c r="I570" i="2"/>
  <c r="J570" i="2"/>
  <c r="AM565" i="2"/>
  <c r="BW603" i="2"/>
  <c r="BU603" i="2"/>
  <c r="BW583" i="2"/>
  <c r="BU583" i="2"/>
  <c r="Z570" i="2"/>
  <c r="Q566" i="2"/>
  <c r="BQ536" i="2"/>
  <c r="U535" i="2"/>
  <c r="Z532" i="2"/>
  <c r="Q531" i="2"/>
  <c r="BP557" i="2"/>
  <c r="Q543" i="2"/>
  <c r="Z543" i="2" s="1"/>
  <c r="Z544" i="2"/>
  <c r="BU555" i="2"/>
  <c r="BW555" i="2"/>
  <c r="BP564" i="2"/>
  <c r="BN501" i="2"/>
  <c r="W577" i="2"/>
  <c r="BR579" i="2"/>
  <c r="BR577" i="2" s="1"/>
  <c r="BW554" i="2"/>
  <c r="BU554" i="2"/>
  <c r="U524" i="2"/>
  <c r="BQ525" i="2"/>
  <c r="BU455" i="2"/>
  <c r="BW455" i="2"/>
  <c r="BN477" i="2"/>
  <c r="BQ395" i="2"/>
  <c r="U394" i="2"/>
  <c r="BQ338" i="2"/>
  <c r="U337" i="2"/>
  <c r="U481" i="2"/>
  <c r="U418" i="2"/>
  <c r="BQ419" i="2"/>
  <c r="BS509" i="2"/>
  <c r="BV509" i="2" s="1"/>
  <c r="BR501" i="2"/>
  <c r="BP499" i="2"/>
  <c r="BR460" i="2"/>
  <c r="BW416" i="2"/>
  <c r="BU416" i="2"/>
  <c r="BP405" i="2"/>
  <c r="BN404" i="2"/>
  <c r="BN400" i="2" s="1"/>
  <c r="BP367" i="2"/>
  <c r="BN366" i="2"/>
  <c r="V461" i="2"/>
  <c r="BW436" i="2"/>
  <c r="BU436" i="2"/>
  <c r="BU426" i="2"/>
  <c r="BW426" i="2"/>
  <c r="BW415" i="2"/>
  <c r="BU415" i="2"/>
  <c r="BW383" i="2"/>
  <c r="BU383" i="2"/>
  <c r="BP358" i="2"/>
  <c r="BN357" i="2"/>
  <c r="BW352" i="2"/>
  <c r="BU352" i="2"/>
  <c r="Y350" i="2"/>
  <c r="P349" i="2"/>
  <c r="Y349" i="2" s="1"/>
  <c r="BC271" i="2"/>
  <c r="BR490" i="2"/>
  <c r="BR489" i="2" s="1"/>
  <c r="S385" i="2"/>
  <c r="BS376" i="2"/>
  <c r="BV376" i="2" s="1"/>
  <c r="BW376" i="2" s="1"/>
  <c r="BN347" i="2"/>
  <c r="BP348" i="2"/>
  <c r="BT336" i="2"/>
  <c r="V335" i="2"/>
  <c r="V329" i="2" s="1"/>
  <c r="BU439" i="2"/>
  <c r="BW439" i="2"/>
  <c r="BW403" i="2"/>
  <c r="BU403" i="2"/>
  <c r="BT392" i="2"/>
  <c r="BT391" i="2" s="1"/>
  <c r="V391" i="2"/>
  <c r="V385" i="2" s="1"/>
  <c r="BP382" i="2"/>
  <c r="W374" i="2"/>
  <c r="BU325" i="2"/>
  <c r="BU324" i="2" s="1"/>
  <c r="BP324" i="2"/>
  <c r="U290" i="2"/>
  <c r="BQ291" i="2"/>
  <c r="Z407" i="2"/>
  <c r="Q406" i="2"/>
  <c r="Z406" i="2" s="1"/>
  <c r="BP388" i="2"/>
  <c r="BU338" i="2"/>
  <c r="BU337" i="2" s="1"/>
  <c r="BP337" i="2"/>
  <c r="Q477" i="2"/>
  <c r="Z477" i="2" s="1"/>
  <c r="BO478" i="2"/>
  <c r="BO477" i="2" s="1"/>
  <c r="BO811" i="2" s="1"/>
  <c r="Z478" i="2"/>
  <c r="U421" i="2"/>
  <c r="BQ422" i="2"/>
  <c r="Q359" i="2"/>
  <c r="Z359" i="2" s="1"/>
  <c r="Z330" i="2"/>
  <c r="Q329" i="2"/>
  <c r="BW310" i="2"/>
  <c r="BU310" i="2"/>
  <c r="BR329" i="2"/>
  <c r="J279" i="2"/>
  <c r="I279" i="2"/>
  <c r="BW284" i="2"/>
  <c r="BU284" i="2"/>
  <c r="BJ271" i="2"/>
  <c r="BJ3" i="2" s="1"/>
  <c r="BJ803" i="2" s="1"/>
  <c r="BQ245" i="2"/>
  <c r="U244" i="2"/>
  <c r="U324" i="2"/>
  <c r="Y273" i="2"/>
  <c r="U330" i="2"/>
  <c r="BP296" i="2"/>
  <c r="G273" i="2"/>
  <c r="BR263" i="2"/>
  <c r="BR262" i="2" s="1"/>
  <c r="W262" i="2"/>
  <c r="BR255" i="2"/>
  <c r="BR254" i="2" s="1"/>
  <c r="W254" i="2"/>
  <c r="BR282" i="2"/>
  <c r="BQ265" i="2"/>
  <c r="U264" i="2"/>
  <c r="BR252" i="2"/>
  <c r="BR251" i="2" s="1"/>
  <c r="W251" i="2"/>
  <c r="BR394" i="2"/>
  <c r="BP291" i="2"/>
  <c r="BQ261" i="2"/>
  <c r="U260" i="2"/>
  <c r="BR245" i="2"/>
  <c r="BR244" i="2" s="1"/>
  <c r="W244" i="2"/>
  <c r="BT282" i="2"/>
  <c r="J275" i="2"/>
  <c r="O274" i="2"/>
  <c r="X275" i="2"/>
  <c r="BN275" i="2"/>
  <c r="U275" i="2"/>
  <c r="BW266" i="2"/>
  <c r="BU266" i="2"/>
  <c r="BU264" i="2" s="1"/>
  <c r="U199" i="2"/>
  <c r="U808" i="2" s="1"/>
  <c r="BQ200" i="2"/>
  <c r="BQ155" i="2"/>
  <c r="U154" i="2"/>
  <c r="O813" i="2"/>
  <c r="X813" i="2" s="1"/>
  <c r="X97" i="2"/>
  <c r="BP230" i="2"/>
  <c r="BW219" i="2"/>
  <c r="BU219" i="2"/>
  <c r="Y207" i="2"/>
  <c r="P206" i="2"/>
  <c r="Y206" i="2" s="1"/>
  <c r="W151" i="2"/>
  <c r="BR152" i="2"/>
  <c r="BR151" i="2" s="1"/>
  <c r="U117" i="2"/>
  <c r="BQ118" i="2"/>
  <c r="J201" i="2"/>
  <c r="I201" i="2"/>
  <c r="O808" i="2"/>
  <c r="X808" i="2" s="1"/>
  <c r="BP127" i="2"/>
  <c r="BN126" i="2"/>
  <c r="BR87" i="2"/>
  <c r="BR86" i="2" s="1"/>
  <c r="BR811" i="2" s="1"/>
  <c r="W86" i="2"/>
  <c r="BP276" i="2"/>
  <c r="BP163" i="2"/>
  <c r="BN162" i="2"/>
  <c r="BQ150" i="2"/>
  <c r="U149" i="2"/>
  <c r="BP106" i="2"/>
  <c r="BN105" i="2"/>
  <c r="BN815" i="2" s="1"/>
  <c r="BW95" i="2"/>
  <c r="BU95" i="2"/>
  <c r="BW71" i="2"/>
  <c r="BU71" i="2"/>
  <c r="BW286" i="2"/>
  <c r="BU286" i="2"/>
  <c r="J238" i="2"/>
  <c r="BQ181" i="2"/>
  <c r="U180" i="2"/>
  <c r="BS168" i="2"/>
  <c r="BV168" i="2" s="1"/>
  <c r="BW168" i="2" s="1"/>
  <c r="Y159" i="2"/>
  <c r="P158" i="2"/>
  <c r="V144" i="2"/>
  <c r="V807" i="2" s="1"/>
  <c r="BT145" i="2"/>
  <c r="BT144" i="2" s="1"/>
  <c r="J121" i="2"/>
  <c r="I121" i="2"/>
  <c r="BW69" i="2"/>
  <c r="BU69" i="2"/>
  <c r="BR60" i="2"/>
  <c r="BR59" i="2" s="1"/>
  <c r="W59" i="2"/>
  <c r="I159" i="2"/>
  <c r="G158" i="2"/>
  <c r="J159" i="2"/>
  <c r="BW48" i="2"/>
  <c r="BU48" i="2"/>
  <c r="BS191" i="2"/>
  <c r="BV191" i="2" s="1"/>
  <c r="BW191" i="2" s="1"/>
  <c r="J151" i="2"/>
  <c r="I151" i="2"/>
  <c r="BU118" i="2"/>
  <c r="BU117" i="2" s="1"/>
  <c r="BP117" i="2"/>
  <c r="AX804" i="2"/>
  <c r="W806" i="2"/>
  <c r="BW165" i="2"/>
  <c r="BU165" i="2"/>
  <c r="O141" i="2"/>
  <c r="X141" i="2" s="1"/>
  <c r="S812" i="2"/>
  <c r="L178" i="3" s="1"/>
  <c r="N178" i="3" s="1"/>
  <c r="Q811" i="2"/>
  <c r="Z811" i="2" s="1"/>
  <c r="Q17" i="2"/>
  <c r="Z21" i="2"/>
  <c r="BH3" i="2"/>
  <c r="BH803" i="2" s="1"/>
  <c r="F6" i="3"/>
  <c r="I184" i="2"/>
  <c r="J184" i="2"/>
  <c r="BR162" i="2"/>
  <c r="BR158" i="2" s="1"/>
  <c r="BN112" i="2"/>
  <c r="BQ97" i="2"/>
  <c r="BS98" i="2"/>
  <c r="BN207" i="2"/>
  <c r="BN206" i="2" s="1"/>
  <c r="Q158" i="2"/>
  <c r="BU116" i="2"/>
  <c r="BU115" i="2" s="1"/>
  <c r="BP115" i="2"/>
  <c r="BQ87" i="2"/>
  <c r="U86" i="2"/>
  <c r="BW49" i="2"/>
  <c r="BU49" i="2"/>
  <c r="G809" i="2"/>
  <c r="BP35" i="2"/>
  <c r="BR22" i="2"/>
  <c r="BR21" i="2" s="1"/>
  <c r="W21" i="2"/>
  <c r="J13" i="2"/>
  <c r="I13" i="2"/>
  <c r="G12" i="2"/>
  <c r="R805" i="2"/>
  <c r="R5" i="2"/>
  <c r="R4" i="2" s="1"/>
  <c r="AO804" i="2"/>
  <c r="BU122" i="2"/>
  <c r="BP121" i="2"/>
  <c r="V97" i="2"/>
  <c r="V813" i="2" s="1"/>
  <c r="BU65" i="2"/>
  <c r="BW65" i="2"/>
  <c r="V46" i="2"/>
  <c r="X41" i="2"/>
  <c r="BN41" i="2"/>
  <c r="BP41" i="2" s="1"/>
  <c r="U41" i="2"/>
  <c r="BQ41" i="2" s="1"/>
  <c r="BS41" i="2" s="1"/>
  <c r="BV41" i="2" s="1"/>
  <c r="BO21" i="2"/>
  <c r="BE3" i="2"/>
  <c r="BE803" i="2" s="1"/>
  <c r="BR17" i="2"/>
  <c r="Y5" i="2"/>
  <c r="P4" i="2"/>
  <c r="AF3" i="2"/>
  <c r="BW768" i="2"/>
  <c r="BU768" i="2"/>
  <c r="BP708" i="2"/>
  <c r="BN707" i="2"/>
  <c r="W725" i="2"/>
  <c r="BW730" i="2"/>
  <c r="BU730" i="2"/>
  <c r="BR695" i="2"/>
  <c r="BR693" i="2" s="1"/>
  <c r="W693" i="2"/>
  <c r="BP754" i="2"/>
  <c r="S711" i="2"/>
  <c r="BU709" i="2"/>
  <c r="BW709" i="2"/>
  <c r="BS702" i="2"/>
  <c r="BV702" i="2" s="1"/>
  <c r="BW702" i="2" s="1"/>
  <c r="BQ620" i="2"/>
  <c r="U619" i="2"/>
  <c r="U618" i="2" s="1"/>
  <c r="BW651" i="2"/>
  <c r="BU651" i="2"/>
  <c r="BR626" i="2"/>
  <c r="BR625" i="2" s="1"/>
  <c r="BR624" i="2" s="1"/>
  <c r="W625" i="2"/>
  <c r="W624" i="2" s="1"/>
  <c r="K631" i="2"/>
  <c r="BS579" i="2"/>
  <c r="BV579" i="2" s="1"/>
  <c r="BW579" i="2" s="1"/>
  <c r="BU664" i="2"/>
  <c r="BW664" i="2"/>
  <c r="BQ607" i="2"/>
  <c r="U606" i="2"/>
  <c r="U605" i="2" s="1"/>
  <c r="BQ635" i="2"/>
  <c r="BS636" i="2"/>
  <c r="BW612" i="2"/>
  <c r="BU612" i="2"/>
  <c r="BT616" i="2"/>
  <c r="BT615" i="2" s="1"/>
  <c r="BT605" i="2" s="1"/>
  <c r="V615" i="2"/>
  <c r="V605" i="2" s="1"/>
  <c r="BU670" i="2"/>
  <c r="BW670" i="2"/>
  <c r="AP631" i="2"/>
  <c r="AP529" i="2" s="1"/>
  <c r="BQ553" i="2"/>
  <c r="U552" i="2"/>
  <c r="BQ545" i="2"/>
  <c r="U544" i="2"/>
  <c r="BU611" i="2"/>
  <c r="BW611" i="2"/>
  <c r="BN615" i="2"/>
  <c r="BP616" i="2"/>
  <c r="Y531" i="2"/>
  <c r="BR566" i="2"/>
  <c r="BO566" i="2"/>
  <c r="BO565" i="2" s="1"/>
  <c r="AH529" i="2"/>
  <c r="AH3" i="2" s="1"/>
  <c r="AH803" i="2" s="1"/>
  <c r="T223" i="3"/>
  <c r="U223" i="3" s="1"/>
  <c r="U224" i="3"/>
  <c r="BQ493" i="2"/>
  <c r="U491" i="2"/>
  <c r="U490" i="2" s="1"/>
  <c r="U489" i="2" s="1"/>
  <c r="BT580" i="2"/>
  <c r="BP561" i="2"/>
  <c r="BN560" i="2"/>
  <c r="BN559" i="2" s="1"/>
  <c r="BW547" i="2"/>
  <c r="BU547" i="2"/>
  <c r="AA529" i="2"/>
  <c r="AA3" i="2" s="1"/>
  <c r="AA803" i="2" s="1"/>
  <c r="BW573" i="2"/>
  <c r="BU573" i="2"/>
  <c r="BW520" i="2"/>
  <c r="BW519" i="2" s="1"/>
  <c r="BP519" i="2"/>
  <c r="BU520" i="2"/>
  <c r="BU519" i="2" s="1"/>
  <c r="BQ463" i="2"/>
  <c r="U460" i="2"/>
  <c r="S566" i="2"/>
  <c r="AU529" i="2"/>
  <c r="AU3" i="2" s="1"/>
  <c r="BN532" i="2"/>
  <c r="BP533" i="2"/>
  <c r="BW592" i="2"/>
  <c r="BU592" i="2"/>
  <c r="BU567" i="2"/>
  <c r="U560" i="2"/>
  <c r="U559" i="2" s="1"/>
  <c r="BQ561" i="2"/>
  <c r="L530" i="2"/>
  <c r="L529" i="2" s="1"/>
  <c r="BT540" i="2"/>
  <c r="BT539" i="2" s="1"/>
  <c r="BT531" i="2" s="1"/>
  <c r="V539" i="2"/>
  <c r="V531" i="2" s="1"/>
  <c r="BR480" i="2"/>
  <c r="BR479" i="2" s="1"/>
  <c r="BR814" i="2" s="1"/>
  <c r="W479" i="2"/>
  <c r="X491" i="2"/>
  <c r="O490" i="2"/>
  <c r="BW467" i="2"/>
  <c r="BU467" i="2"/>
  <c r="BU462" i="2"/>
  <c r="BW462" i="2"/>
  <c r="BW452" i="2"/>
  <c r="BU452" i="2"/>
  <c r="J394" i="2"/>
  <c r="I394" i="2"/>
  <c r="BQ336" i="2"/>
  <c r="U335" i="2"/>
  <c r="BW429" i="2"/>
  <c r="BU429" i="2"/>
  <c r="J552" i="2"/>
  <c r="I552" i="2"/>
  <c r="BW509" i="2"/>
  <c r="BU509" i="2"/>
  <c r="S490" i="2"/>
  <c r="S489" i="2" s="1"/>
  <c r="L146" i="3" s="1"/>
  <c r="N146" i="3" s="1"/>
  <c r="Q486" i="2"/>
  <c r="BO487" i="2"/>
  <c r="Z487" i="2"/>
  <c r="W460" i="2"/>
  <c r="BQ405" i="2"/>
  <c r="U404" i="2"/>
  <c r="U366" i="2"/>
  <c r="BQ367" i="2"/>
  <c r="BP502" i="2"/>
  <c r="L420" i="2"/>
  <c r="L384" i="2" s="1"/>
  <c r="Q145" i="3" s="1"/>
  <c r="T145" i="3" s="1"/>
  <c r="BN423" i="2"/>
  <c r="BN420" i="2" s="1"/>
  <c r="BP424" i="2"/>
  <c r="BQ358" i="2"/>
  <c r="U357" i="2"/>
  <c r="BR351" i="2"/>
  <c r="BR350" i="2" s="1"/>
  <c r="BR349" i="2" s="1"/>
  <c r="W350" i="2"/>
  <c r="W349" i="2" s="1"/>
  <c r="V407" i="2"/>
  <c r="V406" i="2" s="1"/>
  <c r="BT408" i="2"/>
  <c r="BT407" i="2" s="1"/>
  <c r="BT406" i="2" s="1"/>
  <c r="G359" i="2"/>
  <c r="J386" i="2"/>
  <c r="I386" i="2"/>
  <c r="G385" i="2"/>
  <c r="BT365" i="2"/>
  <c r="BT364" i="2" s="1"/>
  <c r="V364" i="2"/>
  <c r="V359" i="2" s="1"/>
  <c r="V355" i="2"/>
  <c r="V808" i="2" s="1"/>
  <c r="BT356" i="2"/>
  <c r="BT355" i="2" s="1"/>
  <c r="BQ313" i="2"/>
  <c r="U312" i="2"/>
  <c r="U311" i="2" s="1"/>
  <c r="BP421" i="2"/>
  <c r="BU422" i="2"/>
  <c r="BU421" i="2" s="1"/>
  <c r="BN381" i="2"/>
  <c r="BN378" i="2" s="1"/>
  <c r="BR374" i="2"/>
  <c r="I418" i="2"/>
  <c r="J418" i="2"/>
  <c r="Z385" i="2"/>
  <c r="BQ486" i="2"/>
  <c r="BQ485" i="2" s="1"/>
  <c r="I370" i="2"/>
  <c r="J370" i="2"/>
  <c r="V353" i="2"/>
  <c r="V349" i="2" s="1"/>
  <c r="BT354" i="2"/>
  <c r="BT353" i="2" s="1"/>
  <c r="BT349" i="2" s="1"/>
  <c r="BU341" i="2"/>
  <c r="BU340" i="2" s="1"/>
  <c r="BP340" i="2"/>
  <c r="BU440" i="2"/>
  <c r="BW440" i="2"/>
  <c r="S423" i="2"/>
  <c r="S420" i="2" s="1"/>
  <c r="BN394" i="2"/>
  <c r="U381" i="2"/>
  <c r="P339" i="2"/>
  <c r="Y339" i="2" s="1"/>
  <c r="J320" i="2"/>
  <c r="I320" i="2"/>
  <c r="G319" i="2"/>
  <c r="Y329" i="2"/>
  <c r="BU313" i="2"/>
  <c r="BU312" i="2" s="1"/>
  <c r="BP312" i="2"/>
  <c r="AR271" i="2"/>
  <c r="BS325" i="2"/>
  <c r="BQ324" i="2"/>
  <c r="BU302" i="2"/>
  <c r="J244" i="2"/>
  <c r="I244" i="2"/>
  <c r="BN295" i="2"/>
  <c r="BT281" i="2"/>
  <c r="BT279" i="2" s="1"/>
  <c r="BT273" i="2" s="1"/>
  <c r="V279" i="2"/>
  <c r="V273" i="2" s="1"/>
  <c r="BP258" i="2"/>
  <c r="BN257" i="2"/>
  <c r="W312" i="2"/>
  <c r="W311" i="2" s="1"/>
  <c r="BS285" i="2"/>
  <c r="BV285" i="2" s="1"/>
  <c r="BW285" i="2" s="1"/>
  <c r="BO250" i="2"/>
  <c r="BT237" i="2"/>
  <c r="H272" i="2"/>
  <c r="H271" i="2" s="1"/>
  <c r="H783" i="2" s="1"/>
  <c r="BU305" i="2"/>
  <c r="BU304" i="2" s="1"/>
  <c r="BP304" i="2"/>
  <c r="BW288" i="2"/>
  <c r="BU288" i="2"/>
  <c r="S273" i="2"/>
  <c r="S272" i="2" s="1"/>
  <c r="BS248" i="2"/>
  <c r="BV248" i="2" s="1"/>
  <c r="BW248" i="2" s="1"/>
  <c r="BQ198" i="2"/>
  <c r="U197" i="2"/>
  <c r="U196" i="2" s="1"/>
  <c r="BT202" i="2"/>
  <c r="BT201" i="2" s="1"/>
  <c r="BT810" i="2" s="1"/>
  <c r="V201" i="2"/>
  <c r="V810" i="2" s="1"/>
  <c r="BS193" i="2"/>
  <c r="BV193" i="2" s="1"/>
  <c r="BW193" i="2" s="1"/>
  <c r="BQ143" i="2"/>
  <c r="U142" i="2"/>
  <c r="U141" i="2" s="1"/>
  <c r="Z207" i="2"/>
  <c r="Q206" i="2"/>
  <c r="Z206" i="2" s="1"/>
  <c r="P808" i="2"/>
  <c r="Y808" i="2" s="1"/>
  <c r="BS130" i="2"/>
  <c r="BV130" i="2" s="1"/>
  <c r="Q812" i="2"/>
  <c r="Z812" i="2" s="1"/>
  <c r="Z91" i="2"/>
  <c r="BU231" i="2"/>
  <c r="BW231" i="2"/>
  <c r="U207" i="2"/>
  <c r="BQ208" i="2"/>
  <c r="BR177" i="2"/>
  <c r="BR176" i="2" s="1"/>
  <c r="BR175" i="2" s="1"/>
  <c r="W176" i="2"/>
  <c r="U126" i="2"/>
  <c r="BQ127" i="2"/>
  <c r="BW233" i="2"/>
  <c r="BU233" i="2"/>
  <c r="BR181" i="2"/>
  <c r="BR180" i="2" s="1"/>
  <c r="W180" i="2"/>
  <c r="BQ163" i="2"/>
  <c r="U162" i="2"/>
  <c r="U158" i="2" s="1"/>
  <c r="BR147" i="2"/>
  <c r="BR146" i="2" s="1"/>
  <c r="W146" i="2"/>
  <c r="BQ106" i="2"/>
  <c r="U105" i="2"/>
  <c r="U815" i="2" s="1"/>
  <c r="BW89" i="2"/>
  <c r="BU89" i="2"/>
  <c r="BU221" i="2"/>
  <c r="BW221" i="2"/>
  <c r="J180" i="2"/>
  <c r="I180" i="2"/>
  <c r="BT167" i="2"/>
  <c r="BT166" i="2" s="1"/>
  <c r="V166" i="2"/>
  <c r="BT155" i="2"/>
  <c r="BT154" i="2" s="1"/>
  <c r="V154" i="2"/>
  <c r="BT143" i="2"/>
  <c r="BT142" i="2" s="1"/>
  <c r="V142" i="2"/>
  <c r="BU44" i="2"/>
  <c r="J141" i="2"/>
  <c r="I141" i="2"/>
  <c r="I128" i="2"/>
  <c r="J128" i="2"/>
  <c r="BO816" i="2"/>
  <c r="O810" i="2"/>
  <c r="X59" i="2"/>
  <c r="S807" i="2"/>
  <c r="L173" i="3" s="1"/>
  <c r="BW203" i="2"/>
  <c r="BU203" i="2"/>
  <c r="BS189" i="2"/>
  <c r="BV189" i="2" s="1"/>
  <c r="BW189" i="2" s="1"/>
  <c r="BU140" i="2"/>
  <c r="BU139" i="2" s="1"/>
  <c r="BP139" i="2"/>
  <c r="BR813" i="2"/>
  <c r="AN16" i="2"/>
  <c r="AR804" i="2"/>
  <c r="H804" i="2"/>
  <c r="N806" i="2"/>
  <c r="N804" i="2" s="1"/>
  <c r="BT127" i="2"/>
  <c r="BT126" i="2" s="1"/>
  <c r="V126" i="2"/>
  <c r="BW76" i="2"/>
  <c r="BU76" i="2"/>
  <c r="T810" i="2"/>
  <c r="BU29" i="2"/>
  <c r="BW29" i="2"/>
  <c r="O12" i="2"/>
  <c r="X12" i="2" s="1"/>
  <c r="X13" i="2"/>
  <c r="BB3" i="2"/>
  <c r="BB803" i="2" s="1"/>
  <c r="F3" i="2"/>
  <c r="F803" i="2" s="1"/>
  <c r="J193" i="2"/>
  <c r="I193" i="2"/>
  <c r="G192" i="2"/>
  <c r="V158" i="2"/>
  <c r="U97" i="2"/>
  <c r="BW66" i="2"/>
  <c r="BU66" i="2"/>
  <c r="AT807" i="2"/>
  <c r="AT804" i="2" s="1"/>
  <c r="BP11" i="2"/>
  <c r="BN10" i="2"/>
  <c r="BU208" i="2"/>
  <c r="BP207" i="2"/>
  <c r="O811" i="2"/>
  <c r="X811" i="2" s="1"/>
  <c r="X86" i="2"/>
  <c r="R810" i="2"/>
  <c r="BQ47" i="2"/>
  <c r="U46" i="2"/>
  <c r="BU42" i="2"/>
  <c r="BW42" i="2"/>
  <c r="O807" i="2"/>
  <c r="X807" i="2" s="1"/>
  <c r="X21" i="2"/>
  <c r="AI804" i="2"/>
  <c r="BF3" i="2"/>
  <c r="BF803" i="2" s="1"/>
  <c r="BT146" i="2"/>
  <c r="BU130" i="2"/>
  <c r="BW130" i="2"/>
  <c r="BN121" i="2"/>
  <c r="Q813" i="2"/>
  <c r="Z813" i="2" s="1"/>
  <c r="Z97" i="2"/>
  <c r="K810" i="2"/>
  <c r="K17" i="2"/>
  <c r="K16" i="2" s="1"/>
  <c r="BO59" i="2"/>
  <c r="BO810" i="2" s="1"/>
  <c r="BU39" i="2"/>
  <c r="BW39" i="2"/>
  <c r="N807" i="2"/>
  <c r="Q814" i="2"/>
  <c r="Z814" i="2" s="1"/>
  <c r="AY3" i="2"/>
  <c r="AY803" i="2" s="1"/>
  <c r="BU22" i="2"/>
  <c r="BP21" i="2"/>
  <c r="G807" i="2"/>
  <c r="M118" i="3"/>
  <c r="M145" i="3" s="1"/>
  <c r="BK3" i="2"/>
  <c r="G805" i="2"/>
  <c r="U762" i="2"/>
  <c r="U789" i="2" s="1"/>
  <c r="BQ763" i="2"/>
  <c r="BW770" i="2"/>
  <c r="BU770" i="2"/>
  <c r="BP698" i="2"/>
  <c r="BN697" i="2"/>
  <c r="BW736" i="2"/>
  <c r="BU736" i="2"/>
  <c r="BW737" i="2"/>
  <c r="BU737" i="2"/>
  <c r="U725" i="2"/>
  <c r="BQ726" i="2"/>
  <c r="Y745" i="2"/>
  <c r="P744" i="2"/>
  <c r="Y744" i="2" s="1"/>
  <c r="BU723" i="2"/>
  <c r="BU722" i="2" s="1"/>
  <c r="BP722" i="2"/>
  <c r="L95" i="3"/>
  <c r="L67" i="3"/>
  <c r="Q796" i="2"/>
  <c r="C787" i="2" s="1"/>
  <c r="I799" i="2"/>
  <c r="J799" i="2" s="1"/>
  <c r="W762" i="2"/>
  <c r="BR763" i="2"/>
  <c r="BR762" i="2" s="1"/>
  <c r="BW765" i="2"/>
  <c r="BU765" i="2"/>
  <c r="F38" i="3"/>
  <c r="I762" i="2"/>
  <c r="V705" i="2"/>
  <c r="BT706" i="2"/>
  <c r="BN704" i="2"/>
  <c r="BP704" i="2" s="1"/>
  <c r="U704" i="2"/>
  <c r="BQ704" i="2" s="1"/>
  <c r="BS704" i="2" s="1"/>
  <c r="BV704" i="2" s="1"/>
  <c r="X704" i="2"/>
  <c r="BN745" i="2"/>
  <c r="BN744" i="2" s="1"/>
  <c r="O632" i="2"/>
  <c r="BN633" i="2"/>
  <c r="X633" i="2"/>
  <c r="G618" i="2"/>
  <c r="J619" i="2"/>
  <c r="I619" i="2"/>
  <c r="BU686" i="2"/>
  <c r="BW686" i="2"/>
  <c r="BU682" i="2"/>
  <c r="BW682" i="2"/>
  <c r="S697" i="2"/>
  <c r="S810" i="2" s="1"/>
  <c r="L176" i="3" s="1"/>
  <c r="U593" i="2"/>
  <c r="BQ594" i="2"/>
  <c r="BQ578" i="2"/>
  <c r="U577" i="2"/>
  <c r="X644" i="2"/>
  <c r="BN644" i="2"/>
  <c r="BP644" i="2" s="1"/>
  <c r="BP628" i="2"/>
  <c r="O605" i="2"/>
  <c r="X605" i="2" s="1"/>
  <c r="X606" i="2"/>
  <c r="W596" i="2"/>
  <c r="BR597" i="2"/>
  <c r="BR596" i="2" s="1"/>
  <c r="BN588" i="2"/>
  <c r="BN580" i="2" s="1"/>
  <c r="BP589" i="2"/>
  <c r="J638" i="2"/>
  <c r="I638" i="2"/>
  <c r="G637" i="2"/>
  <c r="J606" i="2"/>
  <c r="BN593" i="2"/>
  <c r="BP595" i="2"/>
  <c r="BW574" i="2"/>
  <c r="BU574" i="2"/>
  <c r="BP551" i="2"/>
  <c r="BN550" i="2"/>
  <c r="BW534" i="2"/>
  <c r="BU534" i="2"/>
  <c r="J563" i="2"/>
  <c r="I563" i="2"/>
  <c r="BS646" i="2"/>
  <c r="BV646" i="2" s="1"/>
  <c r="BW646" i="2" s="1"/>
  <c r="BU585" i="2"/>
  <c r="BW585" i="2"/>
  <c r="BN570" i="2"/>
  <c r="BN566" i="2" s="1"/>
  <c r="BW608" i="2"/>
  <c r="BU608" i="2"/>
  <c r="J596" i="2"/>
  <c r="I596" i="2"/>
  <c r="S580" i="2"/>
  <c r="BI529" i="2"/>
  <c r="BL529" i="2"/>
  <c r="BL3" i="2" s="1"/>
  <c r="BL803" i="2" s="1"/>
  <c r="AB529" i="2"/>
  <c r="AB3" i="2" s="1"/>
  <c r="AB803" i="2" s="1"/>
  <c r="U567" i="2"/>
  <c r="U566" i="2" s="1"/>
  <c r="BQ568" i="2"/>
  <c r="BP536" i="2"/>
  <c r="F529" i="2"/>
  <c r="F783" i="2" s="1"/>
  <c r="BW510" i="2"/>
  <c r="BU510" i="2"/>
  <c r="N529" i="2"/>
  <c r="P515" i="2"/>
  <c r="Y515" i="2" s="1"/>
  <c r="Y516" i="2"/>
  <c r="V567" i="2"/>
  <c r="V566" i="2" s="1"/>
  <c r="BT568" i="2"/>
  <c r="U539" i="2"/>
  <c r="BQ540" i="2"/>
  <c r="Z491" i="2"/>
  <c r="Q490" i="2"/>
  <c r="Q807" i="2" s="1"/>
  <c r="Z807" i="2" s="1"/>
  <c r="W566" i="2"/>
  <c r="BN537" i="2"/>
  <c r="BP537" i="2" s="1"/>
  <c r="X537" i="2"/>
  <c r="BA529" i="2"/>
  <c r="BA3" i="2" s="1"/>
  <c r="BO515" i="2"/>
  <c r="BU507" i="2"/>
  <c r="BW507" i="2"/>
  <c r="BW494" i="2"/>
  <c r="BU494" i="2"/>
  <c r="BR545" i="2"/>
  <c r="BR544" i="2" s="1"/>
  <c r="BR543" i="2" s="1"/>
  <c r="W544" i="2"/>
  <c r="W543" i="2" s="1"/>
  <c r="W515" i="2"/>
  <c r="U516" i="2"/>
  <c r="U515" i="2" s="1"/>
  <c r="BQ517" i="2"/>
  <c r="BT484" i="2"/>
  <c r="V481" i="2"/>
  <c r="BW475" i="2"/>
  <c r="BU475" i="2"/>
  <c r="BW451" i="2"/>
  <c r="BU451" i="2"/>
  <c r="BN471" i="2"/>
  <c r="BP472" i="2"/>
  <c r="BS393" i="2"/>
  <c r="BV393" i="2" s="1"/>
  <c r="BQ334" i="2"/>
  <c r="U333" i="2"/>
  <c r="K529" i="2"/>
  <c r="F37" i="3" s="1"/>
  <c r="BQ477" i="2"/>
  <c r="BS478" i="2"/>
  <c r="BN460" i="2"/>
  <c r="BP461" i="2"/>
  <c r="BT492" i="2"/>
  <c r="BT491" i="2" s="1"/>
  <c r="BT490" i="2" s="1"/>
  <c r="BT489" i="2" s="1"/>
  <c r="V491" i="2"/>
  <c r="V490" i="2" s="1"/>
  <c r="V489" i="2" s="1"/>
  <c r="W487" i="2"/>
  <c r="BO471" i="2"/>
  <c r="BW470" i="2"/>
  <c r="BU470" i="2"/>
  <c r="BR402" i="2"/>
  <c r="BR401" i="2" s="1"/>
  <c r="BR400" i="2" s="1"/>
  <c r="W401" i="2"/>
  <c r="W400" i="2" s="1"/>
  <c r="BP371" i="2"/>
  <c r="BN370" i="2"/>
  <c r="BP365" i="2"/>
  <c r="BN364" i="2"/>
  <c r="BN359" i="2" s="1"/>
  <c r="BP620" i="2"/>
  <c r="U479" i="2"/>
  <c r="BQ480" i="2"/>
  <c r="BW476" i="2"/>
  <c r="BU476" i="2"/>
  <c r="BN458" i="2"/>
  <c r="BP459" i="2"/>
  <c r="T407" i="2"/>
  <c r="BP399" i="2"/>
  <c r="BN398" i="2"/>
  <c r="BW389" i="2"/>
  <c r="BU389" i="2"/>
  <c r="BP356" i="2"/>
  <c r="BN355" i="2"/>
  <c r="BN808" i="2" s="1"/>
  <c r="BR348" i="2"/>
  <c r="BR347" i="2" s="1"/>
  <c r="W347" i="2"/>
  <c r="BT561" i="2"/>
  <c r="BT560" i="2" s="1"/>
  <c r="BT559" i="2" s="1"/>
  <c r="V560" i="2"/>
  <c r="V559" i="2" s="1"/>
  <c r="U295" i="2"/>
  <c r="BQ296" i="2"/>
  <c r="BO458" i="2"/>
  <c r="BO420" i="2" s="1"/>
  <c r="BQ387" i="2"/>
  <c r="U386" i="2"/>
  <c r="BQ380" i="2"/>
  <c r="U379" i="2"/>
  <c r="U378" i="2" s="1"/>
  <c r="I345" i="2"/>
  <c r="J345" i="2"/>
  <c r="I391" i="2"/>
  <c r="J391" i="2"/>
  <c r="AN384" i="2"/>
  <c r="AN271" i="2" s="1"/>
  <c r="U345" i="2"/>
  <c r="U339" i="2" s="1"/>
  <c r="BQ346" i="2"/>
  <c r="G339" i="2"/>
  <c r="I340" i="2"/>
  <c r="J340" i="2"/>
  <c r="BQ283" i="2"/>
  <c r="U282" i="2"/>
  <c r="BU493" i="2"/>
  <c r="BU469" i="2"/>
  <c r="BW469" i="2"/>
  <c r="BT385" i="2"/>
  <c r="BP361" i="2"/>
  <c r="BU344" i="2"/>
  <c r="BU343" i="2" s="1"/>
  <c r="BP343" i="2"/>
  <c r="BR321" i="2"/>
  <c r="BR320" i="2" s="1"/>
  <c r="BR319" i="2" s="1"/>
  <c r="W320" i="2"/>
  <c r="W319" i="2" s="1"/>
  <c r="O420" i="2"/>
  <c r="X420" i="2" s="1"/>
  <c r="X421" i="2"/>
  <c r="BS414" i="2"/>
  <c r="BV414" i="2" s="1"/>
  <c r="BW414" i="2" s="1"/>
  <c r="BR393" i="2"/>
  <c r="BR391" i="2" s="1"/>
  <c r="W391" i="2"/>
  <c r="U347" i="2"/>
  <c r="BQ348" i="2"/>
  <c r="G329" i="2"/>
  <c r="J330" i="2"/>
  <c r="I330" i="2"/>
  <c r="BP318" i="2"/>
  <c r="BN317" i="2"/>
  <c r="BN311" i="2" s="1"/>
  <c r="W274" i="2"/>
  <c r="W273" i="2" s="1"/>
  <c r="BR275" i="2"/>
  <c r="BR274" i="2" s="1"/>
  <c r="BR273" i="2" s="1"/>
  <c r="BS461" i="2"/>
  <c r="BP408" i="2"/>
  <c r="BQ381" i="2"/>
  <c r="BS382" i="2"/>
  <c r="BQ361" i="2"/>
  <c r="U360" i="2"/>
  <c r="U359" i="2" s="1"/>
  <c r="BW267" i="2"/>
  <c r="BU267" i="2"/>
  <c r="BN339" i="2"/>
  <c r="BS302" i="2"/>
  <c r="BV302" i="2" s="1"/>
  <c r="BW302" i="2" s="1"/>
  <c r="BO282" i="2"/>
  <c r="BO273" i="2" s="1"/>
  <c r="BO272" i="2" s="1"/>
  <c r="BS209" i="2"/>
  <c r="BV209" i="2" s="1"/>
  <c r="BW209" i="2" s="1"/>
  <c r="BS323" i="2"/>
  <c r="BQ322" i="2"/>
  <c r="I295" i="2"/>
  <c r="J295" i="2"/>
  <c r="BQ258" i="2"/>
  <c r="U257" i="2"/>
  <c r="BP241" i="2"/>
  <c r="BN240" i="2"/>
  <c r="BP402" i="2"/>
  <c r="BR312" i="2"/>
  <c r="BR311" i="2" s="1"/>
  <c r="BP263" i="2"/>
  <c r="BN262" i="2"/>
  <c r="BP255" i="2"/>
  <c r="BN254" i="2"/>
  <c r="BW249" i="2"/>
  <c r="BU249" i="2"/>
  <c r="BP239" i="2"/>
  <c r="BN238" i="2"/>
  <c r="J282" i="2"/>
  <c r="I282" i="2"/>
  <c r="BW269" i="2"/>
  <c r="BU269" i="2"/>
  <c r="BT250" i="2"/>
  <c r="BR228" i="2"/>
  <c r="BR227" i="2" s="1"/>
  <c r="W227" i="2"/>
  <c r="BW297" i="2"/>
  <c r="BU297" i="2"/>
  <c r="W808" i="2"/>
  <c r="BP283" i="2"/>
  <c r="BP252" i="2"/>
  <c r="BT228" i="2"/>
  <c r="V227" i="2"/>
  <c r="V206" i="2" s="1"/>
  <c r="I207" i="2"/>
  <c r="G206" i="2"/>
  <c r="J207" i="2"/>
  <c r="U115" i="2"/>
  <c r="BQ116" i="2"/>
  <c r="O816" i="2"/>
  <c r="X816" i="2" s="1"/>
  <c r="X107" i="2"/>
  <c r="BP245" i="2"/>
  <c r="J197" i="2"/>
  <c r="I197" i="2"/>
  <c r="G196" i="2"/>
  <c r="BS183" i="2"/>
  <c r="BV183" i="2" s="1"/>
  <c r="BW183" i="2" s="1"/>
  <c r="P175" i="2"/>
  <c r="Y175" i="2" s="1"/>
  <c r="Y176" i="2"/>
  <c r="S158" i="2"/>
  <c r="S157" i="2" s="1"/>
  <c r="G815" i="2"/>
  <c r="BW178" i="2"/>
  <c r="BU178" i="2"/>
  <c r="BW161" i="2"/>
  <c r="BU161" i="2"/>
  <c r="BR140" i="2"/>
  <c r="BR139" i="2" s="1"/>
  <c r="W139" i="2"/>
  <c r="BW124" i="2"/>
  <c r="BU124" i="2"/>
  <c r="BP108" i="2"/>
  <c r="BN107" i="2"/>
  <c r="BN816" i="2" s="1"/>
  <c r="AR809" i="2"/>
  <c r="BP210" i="2"/>
  <c r="BO207" i="2"/>
  <c r="BO206" i="2" s="1"/>
  <c r="BS212" i="2"/>
  <c r="BV212" i="2" s="1"/>
  <c r="BW212" i="2" s="1"/>
  <c r="S806" i="2"/>
  <c r="L172" i="3" s="1"/>
  <c r="BW179" i="2"/>
  <c r="BU179" i="2"/>
  <c r="BQ140" i="2"/>
  <c r="U139" i="2"/>
  <c r="BR118" i="2"/>
  <c r="BR117" i="2" s="1"/>
  <c r="W117" i="2"/>
  <c r="BS44" i="2"/>
  <c r="BV44" i="2" s="1"/>
  <c r="BW44" i="2" s="1"/>
  <c r="W107" i="2"/>
  <c r="X187" i="2"/>
  <c r="O186" i="2"/>
  <c r="X186" i="2" s="1"/>
  <c r="BR145" i="2"/>
  <c r="W144" i="2"/>
  <c r="W141" i="2" s="1"/>
  <c r="U93" i="2"/>
  <c r="BQ93" i="2" s="1"/>
  <c r="BS93" i="2" s="1"/>
  <c r="BV93" i="2" s="1"/>
  <c r="BU58" i="2"/>
  <c r="BW58" i="2"/>
  <c r="BP47" i="2"/>
  <c r="BN46" i="2"/>
  <c r="O814" i="2"/>
  <c r="X814" i="2" s="1"/>
  <c r="X10" i="2"/>
  <c r="AL804" i="2"/>
  <c r="BI3" i="2"/>
  <c r="BI803" i="2" s="1"/>
  <c r="M785" i="2"/>
  <c r="G794" i="2" s="1"/>
  <c r="M3" i="2"/>
  <c r="M803" i="2" s="1"/>
  <c r="BU110" i="2"/>
  <c r="BW110" i="2"/>
  <c r="BW90" i="2"/>
  <c r="BU90" i="2"/>
  <c r="Q809" i="2"/>
  <c r="Z809" i="2" s="1"/>
  <c r="Z46" i="2"/>
  <c r="E807" i="2"/>
  <c r="BO814" i="2"/>
  <c r="AV3" i="2"/>
  <c r="AV803" i="2" s="1"/>
  <c r="Z4" i="2"/>
  <c r="BT158" i="2"/>
  <c r="BO142" i="2"/>
  <c r="BO141" i="2" s="1"/>
  <c r="BP143" i="2"/>
  <c r="G816" i="2"/>
  <c r="J107" i="2"/>
  <c r="I107" i="2"/>
  <c r="AN807" i="2"/>
  <c r="AN804" i="2" s="1"/>
  <c r="BQ11" i="2"/>
  <c r="U10" i="2"/>
  <c r="BU73" i="2"/>
  <c r="BW73" i="2"/>
  <c r="O809" i="2"/>
  <c r="X809" i="2" s="1"/>
  <c r="X46" i="2"/>
  <c r="BW40" i="2"/>
  <c r="BU40" i="2"/>
  <c r="J19" i="2"/>
  <c r="BN19" i="2"/>
  <c r="X19" i="2"/>
  <c r="O18" i="2"/>
  <c r="J18" i="2" s="1"/>
  <c r="BM804" i="2"/>
  <c r="AC804" i="2"/>
  <c r="AZ3" i="2"/>
  <c r="AZ803" i="2" s="1"/>
  <c r="Q196" i="2"/>
  <c r="Z196" i="2" s="1"/>
  <c r="Z197" i="2"/>
  <c r="P186" i="2"/>
  <c r="Y186" i="2" s="1"/>
  <c r="Y187" i="2"/>
  <c r="V146" i="2"/>
  <c r="G813" i="2"/>
  <c r="I97" i="2"/>
  <c r="J97" i="2"/>
  <c r="P812" i="2"/>
  <c r="Y812" i="2" s="1"/>
  <c r="Y91" i="2"/>
  <c r="BS82" i="2"/>
  <c r="BV82" i="2" s="1"/>
  <c r="BW82" i="2" s="1"/>
  <c r="AS3" i="2"/>
  <c r="AS803" i="2" s="1"/>
  <c r="BN21" i="2"/>
  <c r="U19" i="2"/>
  <c r="AP17" i="2"/>
  <c r="AP16" i="2" s="1"/>
  <c r="AP3" i="2" s="1"/>
  <c r="W814" i="2"/>
  <c r="BP7" i="2"/>
  <c r="BN6" i="2"/>
  <c r="P805" i="2"/>
  <c r="W166" i="2"/>
  <c r="BP53" i="2"/>
  <c r="AU803" i="2" l="1"/>
  <c r="AF803" i="2"/>
  <c r="AK803" i="2"/>
  <c r="AT803" i="2"/>
  <c r="BG803" i="2"/>
  <c r="N179" i="3"/>
  <c r="W813" i="2"/>
  <c r="AG3" i="2"/>
  <c r="AG803" i="2" s="1"/>
  <c r="W186" i="2"/>
  <c r="AP803" i="2"/>
  <c r="BA803" i="2"/>
  <c r="AO803" i="2"/>
  <c r="AR3" i="2"/>
  <c r="AR803" i="2" s="1"/>
  <c r="AI803" i="2"/>
  <c r="W112" i="2"/>
  <c r="AN3" i="2"/>
  <c r="AN803" i="2" s="1"/>
  <c r="H788" i="2"/>
  <c r="J788" i="2" s="1"/>
  <c r="J784" i="2"/>
  <c r="E783" i="2"/>
  <c r="E3" i="2"/>
  <c r="BT530" i="2"/>
  <c r="BT529" i="2" s="1"/>
  <c r="T3" i="2"/>
  <c r="N785" i="2"/>
  <c r="N3" i="2"/>
  <c r="N803" i="2" s="1"/>
  <c r="BN18" i="2"/>
  <c r="BN805" i="2" s="1"/>
  <c r="BP19" i="2"/>
  <c r="I66" i="3"/>
  <c r="W816" i="2"/>
  <c r="BU318" i="2"/>
  <c r="BU317" i="2" s="1"/>
  <c r="BP317" i="2"/>
  <c r="BP311" i="2" s="1"/>
  <c r="BU536" i="2"/>
  <c r="BP535" i="2"/>
  <c r="Y805" i="2"/>
  <c r="U18" i="2"/>
  <c r="BQ19" i="2"/>
  <c r="BU210" i="2"/>
  <c r="BW210" i="2"/>
  <c r="J196" i="2"/>
  <c r="I196" i="2"/>
  <c r="BT227" i="2"/>
  <c r="BU241" i="2"/>
  <c r="BU240" i="2" s="1"/>
  <c r="BP240" i="2"/>
  <c r="BV323" i="2"/>
  <c r="BS322" i="2"/>
  <c r="BP407" i="2"/>
  <c r="BP406" i="2" s="1"/>
  <c r="BU408" i="2"/>
  <c r="BS387" i="2"/>
  <c r="BQ386" i="2"/>
  <c r="BV478" i="2"/>
  <c r="BV477" i="2" s="1"/>
  <c r="BS477" i="2"/>
  <c r="BQ46" i="2"/>
  <c r="BS47" i="2"/>
  <c r="Z486" i="2"/>
  <c r="Q485" i="2"/>
  <c r="Z485" i="2" s="1"/>
  <c r="BU533" i="2"/>
  <c r="BU532" i="2" s="1"/>
  <c r="BP532" i="2"/>
  <c r="BR565" i="2"/>
  <c r="BW754" i="2"/>
  <c r="BU754" i="2"/>
  <c r="BU41" i="2"/>
  <c r="BW41" i="2"/>
  <c r="BS155" i="2"/>
  <c r="BQ154" i="2"/>
  <c r="BP275" i="2"/>
  <c r="BN274" i="2"/>
  <c r="BN273" i="2" s="1"/>
  <c r="U420" i="2"/>
  <c r="BU499" i="2"/>
  <c r="BW499" i="2"/>
  <c r="BS536" i="2"/>
  <c r="BQ535" i="2"/>
  <c r="BW613" i="2"/>
  <c r="BU613" i="2"/>
  <c r="BN5" i="2"/>
  <c r="BN4" i="2" s="1"/>
  <c r="V814" i="2"/>
  <c r="BR144" i="2"/>
  <c r="BR141" i="2" s="1"/>
  <c r="BR112" i="2" s="1"/>
  <c r="BR16" i="2" s="1"/>
  <c r="BS145" i="2"/>
  <c r="BU252" i="2"/>
  <c r="BU251" i="2" s="1"/>
  <c r="BP251" i="2"/>
  <c r="BN237" i="2"/>
  <c r="BS460" i="2"/>
  <c r="BV461" i="2"/>
  <c r="BV460" i="2" s="1"/>
  <c r="J339" i="2"/>
  <c r="I339" i="2"/>
  <c r="BU399" i="2"/>
  <c r="BU398" i="2" s="1"/>
  <c r="BP398" i="2"/>
  <c r="BS480" i="2"/>
  <c r="BQ479" i="2"/>
  <c r="BU371" i="2"/>
  <c r="BP370" i="2"/>
  <c r="BR487" i="2"/>
  <c r="W486" i="2"/>
  <c r="W485" i="2" s="1"/>
  <c r="BW484" i="2"/>
  <c r="BT481" i="2"/>
  <c r="BT816" i="2" s="1"/>
  <c r="U565" i="2"/>
  <c r="BU551" i="2"/>
  <c r="BU550" i="2" s="1"/>
  <c r="BP550" i="2"/>
  <c r="J637" i="2"/>
  <c r="I637" i="2"/>
  <c r="BU704" i="2"/>
  <c r="BW704" i="2"/>
  <c r="BK803" i="2"/>
  <c r="S788" i="2"/>
  <c r="S790" i="2" s="1"/>
  <c r="M117" i="3"/>
  <c r="M176" i="3"/>
  <c r="N176" i="3" s="1"/>
  <c r="X810" i="2"/>
  <c r="U206" i="2"/>
  <c r="BU258" i="2"/>
  <c r="BU257" i="2" s="1"/>
  <c r="BP257" i="2"/>
  <c r="BP423" i="2"/>
  <c r="BU424" i="2"/>
  <c r="BU423" i="2" s="1"/>
  <c r="BQ560" i="2"/>
  <c r="BQ559" i="2" s="1"/>
  <c r="BS561" i="2"/>
  <c r="P530" i="2"/>
  <c r="U543" i="2"/>
  <c r="BS620" i="2"/>
  <c r="BQ619" i="2"/>
  <c r="BQ618" i="2" s="1"/>
  <c r="BU708" i="2"/>
  <c r="BU707" i="2" s="1"/>
  <c r="BP707" i="2"/>
  <c r="BU121" i="2"/>
  <c r="M171" i="3"/>
  <c r="R804" i="2"/>
  <c r="BU35" i="2"/>
  <c r="BW35" i="2"/>
  <c r="BV98" i="2"/>
  <c r="BS97" i="2"/>
  <c r="W810" i="2"/>
  <c r="BS181" i="2"/>
  <c r="BQ180" i="2"/>
  <c r="BU127" i="2"/>
  <c r="BU126" i="2" s="1"/>
  <c r="BP126" i="2"/>
  <c r="BS200" i="2"/>
  <c r="BQ199" i="2"/>
  <c r="BQ808" i="2" s="1"/>
  <c r="U259" i="2"/>
  <c r="U250" i="2" s="1"/>
  <c r="BW388" i="2"/>
  <c r="BU388" i="2"/>
  <c r="BT335" i="2"/>
  <c r="BU358" i="2"/>
  <c r="BU357" i="2" s="1"/>
  <c r="BP357" i="2"/>
  <c r="BS338" i="2"/>
  <c r="BQ337" i="2"/>
  <c r="Z566" i="2"/>
  <c r="Q565" i="2"/>
  <c r="Z565" i="2" s="1"/>
  <c r="BV589" i="2"/>
  <c r="BV588" i="2" s="1"/>
  <c r="BS588" i="2"/>
  <c r="BP552" i="2"/>
  <c r="BU553" i="2"/>
  <c r="BU552" i="2" s="1"/>
  <c r="BP606" i="2"/>
  <c r="BU607" i="2"/>
  <c r="BU606" i="2" s="1"/>
  <c r="BQ707" i="2"/>
  <c r="BS708" i="2"/>
  <c r="E804" i="2"/>
  <c r="BS122" i="2"/>
  <c r="BQ121" i="2"/>
  <c r="BR812" i="2"/>
  <c r="BN259" i="2"/>
  <c r="BQ279" i="2"/>
  <c r="BS280" i="2"/>
  <c r="W385" i="2"/>
  <c r="W359" i="2"/>
  <c r="U406" i="2"/>
  <c r="I420" i="2"/>
  <c r="J420" i="2"/>
  <c r="I349" i="2"/>
  <c r="J349" i="2"/>
  <c r="J515" i="2"/>
  <c r="I515" i="2"/>
  <c r="BW661" i="2"/>
  <c r="BU661" i="2"/>
  <c r="U693" i="2"/>
  <c r="U697" i="2"/>
  <c r="U21" i="2"/>
  <c r="BU187" i="2"/>
  <c r="BS188" i="2"/>
  <c r="BQ187" i="2"/>
  <c r="BQ186" i="2" s="1"/>
  <c r="BU280" i="2"/>
  <c r="BP279" i="2"/>
  <c r="BU129" i="2"/>
  <c r="BU128" i="2" s="1"/>
  <c r="BP128" i="2"/>
  <c r="Z806" i="2"/>
  <c r="J250" i="2"/>
  <c r="I250" i="2"/>
  <c r="W339" i="2"/>
  <c r="W328" i="2" s="1"/>
  <c r="W272" i="2" s="1"/>
  <c r="BU331" i="2"/>
  <c r="BU330" i="2" s="1"/>
  <c r="BU329" i="2" s="1"/>
  <c r="BP330" i="2"/>
  <c r="BP329" i="2" s="1"/>
  <c r="BS344" i="2"/>
  <c r="BQ343" i="2"/>
  <c r="BO385" i="2"/>
  <c r="BP541" i="2"/>
  <c r="BU542" i="2"/>
  <c r="BU541" i="2" s="1"/>
  <c r="BT543" i="2"/>
  <c r="BS571" i="2"/>
  <c r="BQ570" i="2"/>
  <c r="BQ609" i="2"/>
  <c r="BS610" i="2"/>
  <c r="M173" i="3"/>
  <c r="N173" i="3" s="1"/>
  <c r="V816" i="2"/>
  <c r="V151" i="2"/>
  <c r="V141" i="2" s="1"/>
  <c r="V112" i="2" s="1"/>
  <c r="BT152" i="2"/>
  <c r="BT151" i="2" s="1"/>
  <c r="BT141" i="2" s="1"/>
  <c r="BT112" i="2" s="1"/>
  <c r="BT16" i="2" s="1"/>
  <c r="U816" i="2"/>
  <c r="BS60" i="2"/>
  <c r="BQ59" i="2"/>
  <c r="W206" i="2"/>
  <c r="BQ238" i="2"/>
  <c r="BS239" i="2"/>
  <c r="BU321" i="2"/>
  <c r="BU320" i="2" s="1"/>
  <c r="BU319" i="2" s="1"/>
  <c r="BP320" i="2"/>
  <c r="BP319" i="2" s="1"/>
  <c r="BQ317" i="2"/>
  <c r="BS318" i="2"/>
  <c r="BU372" i="2"/>
  <c r="BW372" i="2"/>
  <c r="BS351" i="2"/>
  <c r="BQ350" i="2"/>
  <c r="BQ370" i="2"/>
  <c r="BS371" i="2"/>
  <c r="BQ541" i="2"/>
  <c r="BS542" i="2"/>
  <c r="BU610" i="2"/>
  <c r="BU609" i="2" s="1"/>
  <c r="BP609" i="2"/>
  <c r="BU764" i="2"/>
  <c r="BW764" i="2"/>
  <c r="BQ740" i="2"/>
  <c r="BS741" i="2"/>
  <c r="F63" i="3"/>
  <c r="C65" i="3"/>
  <c r="G789" i="2"/>
  <c r="I789" i="2" s="1"/>
  <c r="T787" i="2"/>
  <c r="H787" i="2" s="1"/>
  <c r="J787" i="2" s="1"/>
  <c r="M91" i="3"/>
  <c r="L118" i="3" s="1"/>
  <c r="N118" i="3" s="1"/>
  <c r="Q790" i="2"/>
  <c r="C785" i="2" s="1"/>
  <c r="BW492" i="2"/>
  <c r="BU283" i="2"/>
  <c r="BU282" i="2" s="1"/>
  <c r="BP282" i="2"/>
  <c r="BU239" i="2"/>
  <c r="BU238" i="2" s="1"/>
  <c r="BP238" i="2"/>
  <c r="BU263" i="2"/>
  <c r="BU262" i="2" s="1"/>
  <c r="BP262" i="2"/>
  <c r="BQ257" i="2"/>
  <c r="BS258" i="2"/>
  <c r="J329" i="2"/>
  <c r="I329" i="2"/>
  <c r="G328" i="2"/>
  <c r="BS346" i="2"/>
  <c r="BQ345" i="2"/>
  <c r="BS296" i="2"/>
  <c r="BQ295" i="2"/>
  <c r="T406" i="2"/>
  <c r="T384" i="2" s="1"/>
  <c r="T271" i="2" s="1"/>
  <c r="T806" i="2"/>
  <c r="T804" i="2" s="1"/>
  <c r="BS517" i="2"/>
  <c r="BQ516" i="2"/>
  <c r="BW537" i="2"/>
  <c r="BU537" i="2"/>
  <c r="BT567" i="2"/>
  <c r="BT566" i="2" s="1"/>
  <c r="BT565" i="2" s="1"/>
  <c r="BS578" i="2"/>
  <c r="BQ577" i="2"/>
  <c r="BN632" i="2"/>
  <c r="BP633" i="2"/>
  <c r="BT705" i="2"/>
  <c r="BT814" i="2" s="1"/>
  <c r="BS763" i="2"/>
  <c r="BQ762" i="2"/>
  <c r="W17" i="2"/>
  <c r="W16" i="2" s="1"/>
  <c r="BU11" i="2"/>
  <c r="BU10" i="2" s="1"/>
  <c r="BP10" i="2"/>
  <c r="G808" i="2"/>
  <c r="G804" i="2" s="1"/>
  <c r="J192" i="2"/>
  <c r="I192" i="2"/>
  <c r="BQ126" i="2"/>
  <c r="BS127" i="2"/>
  <c r="BU311" i="2"/>
  <c r="F10" i="3"/>
  <c r="I5" i="3"/>
  <c r="I385" i="2"/>
  <c r="BQ404" i="2"/>
  <c r="BS405" i="2"/>
  <c r="BS545" i="2"/>
  <c r="BQ544" i="2"/>
  <c r="J12" i="2"/>
  <c r="I12" i="2"/>
  <c r="I809" i="2"/>
  <c r="J809" i="2"/>
  <c r="BR810" i="2"/>
  <c r="BU163" i="2"/>
  <c r="BU162" i="2" s="1"/>
  <c r="BP162" i="2"/>
  <c r="BU230" i="2"/>
  <c r="BU227" i="2" s="1"/>
  <c r="BW230" i="2"/>
  <c r="O273" i="2"/>
  <c r="X274" i="2"/>
  <c r="J274" i="2"/>
  <c r="BQ260" i="2"/>
  <c r="BS261" i="2"/>
  <c r="BQ264" i="2"/>
  <c r="BS265" i="2"/>
  <c r="Q328" i="2"/>
  <c r="Z328" i="2" s="1"/>
  <c r="Z329" i="2"/>
  <c r="BU348" i="2"/>
  <c r="BU347" i="2" s="1"/>
  <c r="BP347" i="2"/>
  <c r="BU405" i="2"/>
  <c r="BU404" i="2" s="1"/>
  <c r="BP404" i="2"/>
  <c r="BQ524" i="2"/>
  <c r="BS525" i="2"/>
  <c r="BU557" i="2"/>
  <c r="BU556" i="2" s="1"/>
  <c r="BP556" i="2"/>
  <c r="BN605" i="2"/>
  <c r="U744" i="2"/>
  <c r="AX803" i="2"/>
  <c r="G4" i="2"/>
  <c r="BP104" i="2"/>
  <c r="BN103" i="2"/>
  <c r="BN814" i="2" s="1"/>
  <c r="BN810" i="2"/>
  <c r="BP201" i="2"/>
  <c r="BU202" i="2"/>
  <c r="BU201" i="2" s="1"/>
  <c r="BP144" i="2"/>
  <c r="BU145" i="2"/>
  <c r="BU144" i="2" s="1"/>
  <c r="BU261" i="2"/>
  <c r="BU260" i="2" s="1"/>
  <c r="BU259" i="2" s="1"/>
  <c r="BP260" i="2"/>
  <c r="O328" i="2"/>
  <c r="X328" i="2" s="1"/>
  <c r="X329" i="2"/>
  <c r="BS305" i="2"/>
  <c r="BQ304" i="2"/>
  <c r="BR385" i="2"/>
  <c r="BU480" i="2"/>
  <c r="BU479" i="2" s="1"/>
  <c r="BP479" i="2"/>
  <c r="BR359" i="2"/>
  <c r="BS408" i="2"/>
  <c r="BQ407" i="2"/>
  <c r="Y490" i="2"/>
  <c r="P489" i="2"/>
  <c r="Y489" i="2" s="1"/>
  <c r="P565" i="2"/>
  <c r="Y565" i="2" s="1"/>
  <c r="Y566" i="2"/>
  <c r="BU591" i="2"/>
  <c r="BU590" i="2" s="1"/>
  <c r="BP590" i="2"/>
  <c r="BQ693" i="2"/>
  <c r="BS694" i="2"/>
  <c r="J810" i="2"/>
  <c r="I810" i="2"/>
  <c r="BS22" i="2"/>
  <c r="BQ21" i="2"/>
  <c r="BU200" i="2"/>
  <c r="BU199" i="2" s="1"/>
  <c r="BP199" i="2"/>
  <c r="F9" i="3"/>
  <c r="J311" i="2"/>
  <c r="I311" i="2"/>
  <c r="BQ227" i="2"/>
  <c r="BS228" i="2"/>
  <c r="BN349" i="2"/>
  <c r="BU392" i="2"/>
  <c r="BP391" i="2"/>
  <c r="V543" i="2"/>
  <c r="U624" i="2"/>
  <c r="BR196" i="2"/>
  <c r="P141" i="2"/>
  <c r="Y146" i="2"/>
  <c r="BU247" i="2"/>
  <c r="BU246" i="2" s="1"/>
  <c r="BP246" i="2"/>
  <c r="BQ107" i="2"/>
  <c r="BS108" i="2"/>
  <c r="U810" i="2"/>
  <c r="BU281" i="2"/>
  <c r="BW281" i="2"/>
  <c r="Z273" i="2"/>
  <c r="O385" i="2"/>
  <c r="F13" i="3"/>
  <c r="I566" i="2"/>
  <c r="J566" i="2"/>
  <c r="BU525" i="2"/>
  <c r="BU524" i="2" s="1"/>
  <c r="BP524" i="2"/>
  <c r="BO631" i="2"/>
  <c r="U637" i="2"/>
  <c r="BS695" i="2"/>
  <c r="BV695" i="2" s="1"/>
  <c r="BQ705" i="2"/>
  <c r="BS706" i="2"/>
  <c r="BS713" i="2"/>
  <c r="BQ712" i="2"/>
  <c r="BU776" i="2"/>
  <c r="BW776" i="2"/>
  <c r="BP491" i="2"/>
  <c r="S17" i="2"/>
  <c r="BP227" i="2"/>
  <c r="BP206" i="2" s="1"/>
  <c r="BP6" i="2"/>
  <c r="BU7" i="2"/>
  <c r="BU6" i="2" s="1"/>
  <c r="BU108" i="2"/>
  <c r="BU107" i="2" s="1"/>
  <c r="BP107" i="2"/>
  <c r="BP244" i="2"/>
  <c r="BU245" i="2"/>
  <c r="BU244" i="2" s="1"/>
  <c r="I206" i="2"/>
  <c r="J206" i="2"/>
  <c r="BQ360" i="2"/>
  <c r="BS361" i="2"/>
  <c r="BS348" i="2"/>
  <c r="BQ347" i="2"/>
  <c r="BU361" i="2"/>
  <c r="BU360" i="2" s="1"/>
  <c r="BP360" i="2"/>
  <c r="BU356" i="2"/>
  <c r="BU355" i="2" s="1"/>
  <c r="BP355" i="2"/>
  <c r="BU459" i="2"/>
  <c r="BU458" i="2" s="1"/>
  <c r="BP458" i="2"/>
  <c r="BU620" i="2"/>
  <c r="BU619" i="2" s="1"/>
  <c r="BU618" i="2" s="1"/>
  <c r="BP619" i="2"/>
  <c r="BP618" i="2" s="1"/>
  <c r="W565" i="2"/>
  <c r="V565" i="2"/>
  <c r="BS594" i="2"/>
  <c r="BQ593" i="2"/>
  <c r="X632" i="2"/>
  <c r="J807" i="2"/>
  <c r="I807" i="2"/>
  <c r="F34" i="3"/>
  <c r="K785" i="2"/>
  <c r="K3" i="2"/>
  <c r="V811" i="2"/>
  <c r="BQ162" i="2"/>
  <c r="BQ158" i="2" s="1"/>
  <c r="BS163" i="2"/>
  <c r="P328" i="2"/>
  <c r="BP339" i="2"/>
  <c r="BS313" i="2"/>
  <c r="BQ312" i="2"/>
  <c r="BQ335" i="2"/>
  <c r="BS336" i="2"/>
  <c r="S565" i="2"/>
  <c r="S529" i="2" s="1"/>
  <c r="BU561" i="2"/>
  <c r="BU560" i="2" s="1"/>
  <c r="BU559" i="2" s="1"/>
  <c r="BP560" i="2"/>
  <c r="BU616" i="2"/>
  <c r="BU615" i="2" s="1"/>
  <c r="BP615" i="2"/>
  <c r="BS607" i="2"/>
  <c r="BQ606" i="2"/>
  <c r="Y158" i="2"/>
  <c r="BU276" i="2"/>
  <c r="BW276" i="2"/>
  <c r="BU291" i="2"/>
  <c r="BU290" i="2" s="1"/>
  <c r="BP290" i="2"/>
  <c r="I273" i="2"/>
  <c r="J273" i="2"/>
  <c r="G272" i="2"/>
  <c r="BQ418" i="2"/>
  <c r="BS419" i="2"/>
  <c r="BS395" i="2"/>
  <c r="BQ394" i="2"/>
  <c r="BU564" i="2"/>
  <c r="BU563" i="2" s="1"/>
  <c r="BP563" i="2"/>
  <c r="Z531" i="2"/>
  <c r="Q530" i="2"/>
  <c r="BU636" i="2"/>
  <c r="BU635" i="2" s="1"/>
  <c r="BP635" i="2"/>
  <c r="BP806" i="2" s="1"/>
  <c r="BP759" i="2"/>
  <c r="BU760" i="2"/>
  <c r="BU759" i="2" s="1"/>
  <c r="BQ745" i="2"/>
  <c r="BS746" i="2"/>
  <c r="X5" i="2"/>
  <c r="O4" i="2"/>
  <c r="W158" i="2"/>
  <c r="BS202" i="2"/>
  <c r="BQ201" i="2"/>
  <c r="BS247" i="2"/>
  <c r="BQ246" i="2"/>
  <c r="BW393" i="2"/>
  <c r="BU393" i="2"/>
  <c r="BQ368" i="2"/>
  <c r="BS369" i="2"/>
  <c r="W420" i="2"/>
  <c r="J490" i="2"/>
  <c r="I490" i="2"/>
  <c r="G489" i="2"/>
  <c r="G384" i="2" s="1"/>
  <c r="BU517" i="2"/>
  <c r="BU516" i="2" s="1"/>
  <c r="BP516" i="2"/>
  <c r="O530" i="2"/>
  <c r="X531" i="2"/>
  <c r="BU596" i="2"/>
  <c r="BS721" i="2"/>
  <c r="BQ720" i="2"/>
  <c r="W805" i="2"/>
  <c r="W5" i="2"/>
  <c r="W4" i="2" s="1"/>
  <c r="BP197" i="2"/>
  <c r="BP196" i="2" s="1"/>
  <c r="BU198" i="2"/>
  <c r="BU197" i="2" s="1"/>
  <c r="BU196" i="2" s="1"/>
  <c r="P810" i="2"/>
  <c r="Y810" i="2" s="1"/>
  <c r="Y59" i="2"/>
  <c r="L171" i="3"/>
  <c r="S804" i="2"/>
  <c r="BN806" i="2"/>
  <c r="BU152" i="2"/>
  <c r="BU151" i="2" s="1"/>
  <c r="BP151" i="2"/>
  <c r="W237" i="2"/>
  <c r="BU386" i="2"/>
  <c r="BU570" i="2"/>
  <c r="BU566" i="2" s="1"/>
  <c r="I543" i="2"/>
  <c r="J543" i="2"/>
  <c r="X566" i="2"/>
  <c r="O565" i="2"/>
  <c r="X565" i="2" s="1"/>
  <c r="BU581" i="2"/>
  <c r="BU580" i="2" s="1"/>
  <c r="S631" i="2"/>
  <c r="BQ633" i="2"/>
  <c r="U632" i="2"/>
  <c r="BS626" i="2"/>
  <c r="BQ625" i="2"/>
  <c r="J711" i="2"/>
  <c r="I711" i="2"/>
  <c r="BP720" i="2"/>
  <c r="BP711" i="2" s="1"/>
  <c r="BU721" i="2"/>
  <c r="BU720" i="2" s="1"/>
  <c r="BP773" i="2"/>
  <c r="BP817" i="2" s="1"/>
  <c r="BU774" i="2"/>
  <c r="BU773" i="2" s="1"/>
  <c r="BU817" i="2" s="1"/>
  <c r="I17" i="2"/>
  <c r="G16" i="2"/>
  <c r="C35" i="3" s="1"/>
  <c r="W196" i="2"/>
  <c r="Y166" i="2"/>
  <c r="P816" i="2"/>
  <c r="Y816" i="2" s="1"/>
  <c r="U91" i="2"/>
  <c r="U812" i="2" s="1"/>
  <c r="BO806" i="2"/>
  <c r="BQ254" i="2"/>
  <c r="BS255" i="2"/>
  <c r="BQ240" i="2"/>
  <c r="BS241" i="2"/>
  <c r="P250" i="2"/>
  <c r="Y250" i="2" s="1"/>
  <c r="BS307" i="2"/>
  <c r="BQ306" i="2"/>
  <c r="BQ813" i="2" s="1"/>
  <c r="BS375" i="2"/>
  <c r="BQ374" i="2"/>
  <c r="W530" i="2"/>
  <c r="Y637" i="2"/>
  <c r="BS638" i="2"/>
  <c r="BQ637" i="2"/>
  <c r="U711" i="2"/>
  <c r="J744" i="2"/>
  <c r="I744" i="2"/>
  <c r="V711" i="2"/>
  <c r="V631" i="2" s="1"/>
  <c r="BU491" i="2"/>
  <c r="J811" i="2"/>
  <c r="I816" i="2"/>
  <c r="J816" i="2"/>
  <c r="BW53" i="2"/>
  <c r="BU53" i="2"/>
  <c r="BU143" i="2"/>
  <c r="BU142" i="2" s="1"/>
  <c r="BP142" i="2"/>
  <c r="BU402" i="2"/>
  <c r="BU401" i="2" s="1"/>
  <c r="BU400" i="2" s="1"/>
  <c r="BP401" i="2"/>
  <c r="BS381" i="2"/>
  <c r="BV382" i="2"/>
  <c r="BV381" i="2" s="1"/>
  <c r="BQ282" i="2"/>
  <c r="BS283" i="2"/>
  <c r="BS380" i="2"/>
  <c r="BQ379" i="2"/>
  <c r="BQ378" i="2" s="1"/>
  <c r="BU461" i="2"/>
  <c r="BU460" i="2" s="1"/>
  <c r="BP460" i="2"/>
  <c r="BQ333" i="2"/>
  <c r="BS334" i="2"/>
  <c r="Z490" i="2"/>
  <c r="Q489" i="2"/>
  <c r="Z489" i="2" s="1"/>
  <c r="BN535" i="2"/>
  <c r="BN531" i="2" s="1"/>
  <c r="BN530" i="2" s="1"/>
  <c r="BN565" i="2"/>
  <c r="BW595" i="2"/>
  <c r="BU595" i="2"/>
  <c r="BU593" i="2" s="1"/>
  <c r="BP593" i="2"/>
  <c r="BU589" i="2"/>
  <c r="BU588" i="2" s="1"/>
  <c r="BP588" i="2"/>
  <c r="BW589" i="2"/>
  <c r="BW588" i="2" s="1"/>
  <c r="BU628" i="2"/>
  <c r="BU627" i="2" s="1"/>
  <c r="BP627" i="2"/>
  <c r="BQ725" i="2"/>
  <c r="BS726" i="2"/>
  <c r="J805" i="2"/>
  <c r="I805" i="2"/>
  <c r="BQ105" i="2"/>
  <c r="BS106" i="2"/>
  <c r="W175" i="2"/>
  <c r="BS324" i="2"/>
  <c r="BV325" i="2"/>
  <c r="BP501" i="2"/>
  <c r="BU502" i="2"/>
  <c r="BU501" i="2" s="1"/>
  <c r="V530" i="2"/>
  <c r="BS553" i="2"/>
  <c r="BQ552" i="2"/>
  <c r="BO807" i="2"/>
  <c r="BO17" i="2"/>
  <c r="BO16" i="2" s="1"/>
  <c r="Z158" i="2"/>
  <c r="Q157" i="2"/>
  <c r="Z157" i="2" s="1"/>
  <c r="BP105" i="2"/>
  <c r="BU106" i="2"/>
  <c r="BU105" i="2" s="1"/>
  <c r="BU815" i="2" s="1"/>
  <c r="W811" i="2"/>
  <c r="BU296" i="2"/>
  <c r="BU295" i="2" s="1"/>
  <c r="BP295" i="2"/>
  <c r="BS245" i="2"/>
  <c r="BQ244" i="2"/>
  <c r="BR328" i="2"/>
  <c r="BR272" i="2" s="1"/>
  <c r="BQ290" i="2"/>
  <c r="BS291" i="2"/>
  <c r="BW382" i="2"/>
  <c r="BW381" i="2" s="1"/>
  <c r="BU382" i="2"/>
  <c r="BU381" i="2" s="1"/>
  <c r="BU378" i="2" s="1"/>
  <c r="BP381" i="2"/>
  <c r="BP378" i="2" s="1"/>
  <c r="BT461" i="2"/>
  <c r="BT460" i="2" s="1"/>
  <c r="BT420" i="2" s="1"/>
  <c r="BT384" i="2" s="1"/>
  <c r="V460" i="2"/>
  <c r="V809" i="2" s="1"/>
  <c r="BP478" i="2"/>
  <c r="BS597" i="2"/>
  <c r="BQ596" i="2"/>
  <c r="BW634" i="2"/>
  <c r="BU634" i="2"/>
  <c r="BQ757" i="2"/>
  <c r="BS758" i="2"/>
  <c r="BO805" i="2"/>
  <c r="BO804" i="2" s="1"/>
  <c r="J112" i="2"/>
  <c r="I112" i="2"/>
  <c r="BW15" i="2"/>
  <c r="BU15" i="2"/>
  <c r="BU13" i="2" s="1"/>
  <c r="BU12" i="2" s="1"/>
  <c r="BV160" i="2"/>
  <c r="BV159" i="2" s="1"/>
  <c r="BS159" i="2"/>
  <c r="O112" i="2"/>
  <c r="X112" i="2" s="1"/>
  <c r="BQ128" i="2"/>
  <c r="BS129" i="2"/>
  <c r="BS330" i="2"/>
  <c r="BV331" i="2"/>
  <c r="BV330" i="2" s="1"/>
  <c r="BU308" i="2"/>
  <c r="V420" i="2"/>
  <c r="V384" i="2" s="1"/>
  <c r="BR420" i="2"/>
  <c r="BN515" i="2"/>
  <c r="BR580" i="2"/>
  <c r="O711" i="2"/>
  <c r="X711" i="2" s="1"/>
  <c r="BU746" i="2"/>
  <c r="BU745" i="2" s="1"/>
  <c r="BU744" i="2" s="1"/>
  <c r="BU711" i="2" s="1"/>
  <c r="BP745" i="2"/>
  <c r="BP744" i="2" s="1"/>
  <c r="BR805" i="2"/>
  <c r="BR5" i="2"/>
  <c r="BR4" i="2" s="1"/>
  <c r="BO196" i="2"/>
  <c r="BO157" i="2" s="1"/>
  <c r="V17" i="2"/>
  <c r="BU59" i="2"/>
  <c r="U175" i="2"/>
  <c r="V806" i="2"/>
  <c r="BR237" i="2"/>
  <c r="BU395" i="2"/>
  <c r="BU394" i="2" s="1"/>
  <c r="BP394" i="2"/>
  <c r="Y385" i="2"/>
  <c r="BU354" i="2"/>
  <c r="BU353" i="2" s="1"/>
  <c r="BP353" i="2"/>
  <c r="BP349" i="2" s="1"/>
  <c r="BS424" i="2"/>
  <c r="BQ423" i="2"/>
  <c r="BQ526" i="2"/>
  <c r="BS527" i="2"/>
  <c r="BS557" i="2"/>
  <c r="BQ556" i="2"/>
  <c r="BN711" i="2"/>
  <c r="V805" i="2"/>
  <c r="J175" i="2"/>
  <c r="I175" i="2"/>
  <c r="V812" i="2"/>
  <c r="BS92" i="2"/>
  <c r="BQ91" i="2"/>
  <c r="V196" i="2"/>
  <c r="V157" i="2" s="1"/>
  <c r="BQ339" i="2"/>
  <c r="W259" i="2"/>
  <c r="BU350" i="2"/>
  <c r="BU349" i="2" s="1"/>
  <c r="Y378" i="2"/>
  <c r="P359" i="2"/>
  <c r="Y359" i="2" s="1"/>
  <c r="BQ355" i="2"/>
  <c r="BS356" i="2"/>
  <c r="BQ398" i="2"/>
  <c r="BS399" i="2"/>
  <c r="J559" i="2"/>
  <c r="I559" i="2"/>
  <c r="BR530" i="2"/>
  <c r="BP695" i="2"/>
  <c r="BN693" i="2"/>
  <c r="BN809" i="2" s="1"/>
  <c r="BU763" i="2"/>
  <c r="BP762" i="2"/>
  <c r="BT711" i="2"/>
  <c r="BQ718" i="2"/>
  <c r="BS719" i="2"/>
  <c r="R271" i="2"/>
  <c r="S141" i="2"/>
  <c r="AL803" i="2"/>
  <c r="AC803" i="2"/>
  <c r="BP566" i="2"/>
  <c r="BU47" i="2"/>
  <c r="BU46" i="2" s="1"/>
  <c r="BP46" i="2"/>
  <c r="J813" i="2"/>
  <c r="I813" i="2"/>
  <c r="U385" i="2"/>
  <c r="U384" i="2" s="1"/>
  <c r="BS143" i="2"/>
  <c r="BQ142" i="2"/>
  <c r="BS198" i="2"/>
  <c r="BQ197" i="2"/>
  <c r="BQ196" i="2" s="1"/>
  <c r="J319" i="2"/>
  <c r="I319" i="2"/>
  <c r="J359" i="2"/>
  <c r="I359" i="2"/>
  <c r="BQ366" i="2"/>
  <c r="BS367" i="2"/>
  <c r="BO486" i="2"/>
  <c r="BO485" i="2" s="1"/>
  <c r="BP487" i="2"/>
  <c r="BS463" i="2"/>
  <c r="BV463" i="2" s="1"/>
  <c r="BW463" i="2" s="1"/>
  <c r="BQ460" i="2"/>
  <c r="Y4" i="2"/>
  <c r="W807" i="2"/>
  <c r="U811" i="2"/>
  <c r="I158" i="2"/>
  <c r="J158" i="2"/>
  <c r="BS118" i="2"/>
  <c r="BQ117" i="2"/>
  <c r="BQ275" i="2"/>
  <c r="U274" i="2"/>
  <c r="U273" i="2" s="1"/>
  <c r="W250" i="2"/>
  <c r="U329" i="2"/>
  <c r="BS422" i="2"/>
  <c r="BQ421" i="2"/>
  <c r="S384" i="2"/>
  <c r="L145" i="3" s="1"/>
  <c r="N145" i="3" s="1"/>
  <c r="BN543" i="2"/>
  <c r="BW645" i="2"/>
  <c r="BU645" i="2"/>
  <c r="U580" i="2"/>
  <c r="BU726" i="2"/>
  <c r="BU725" i="2" s="1"/>
  <c r="BP725" i="2"/>
  <c r="BS7" i="2"/>
  <c r="BQ6" i="2"/>
  <c r="O805" i="2"/>
  <c r="BU167" i="2"/>
  <c r="BU166" i="2" s="1"/>
  <c r="BP166" i="2"/>
  <c r="BU97" i="2"/>
  <c r="BU813" i="2" s="1"/>
  <c r="O157" i="2"/>
  <c r="BW102" i="2"/>
  <c r="BU102" i="2"/>
  <c r="BP159" i="2"/>
  <c r="BW160" i="2"/>
  <c r="BW159" i="2" s="1"/>
  <c r="BU160" i="2"/>
  <c r="BU159" i="2" s="1"/>
  <c r="F7" i="3"/>
  <c r="J237" i="2"/>
  <c r="I237" i="2"/>
  <c r="BU150" i="2"/>
  <c r="BU149" i="2" s="1"/>
  <c r="BP149" i="2"/>
  <c r="BQ329" i="2"/>
  <c r="BN385" i="2"/>
  <c r="BN384" i="2" s="1"/>
  <c r="BQ353" i="2"/>
  <c r="BS354" i="2"/>
  <c r="BQ391" i="2"/>
  <c r="BS392" i="2"/>
  <c r="BO529" i="2"/>
  <c r="BS616" i="2"/>
  <c r="BQ615" i="2"/>
  <c r="J632" i="2"/>
  <c r="BW23" i="2"/>
  <c r="BU23" i="2"/>
  <c r="BN813" i="2"/>
  <c r="BO112" i="2"/>
  <c r="W809" i="2"/>
  <c r="BU87" i="2"/>
  <c r="BU86" i="2" s="1"/>
  <c r="BP86" i="2"/>
  <c r="BQ176" i="2"/>
  <c r="BQ175" i="2" s="1"/>
  <c r="BS177" i="2"/>
  <c r="O812" i="2"/>
  <c r="X812" i="2" s="1"/>
  <c r="X91" i="2"/>
  <c r="BS114" i="2"/>
  <c r="BQ113" i="2"/>
  <c r="BS167" i="2"/>
  <c r="BQ166" i="2"/>
  <c r="Q420" i="2"/>
  <c r="BS459" i="2"/>
  <c r="BQ458" i="2"/>
  <c r="U531" i="2"/>
  <c r="U530" i="2" s="1"/>
  <c r="G580" i="2"/>
  <c r="J581" i="2"/>
  <c r="I581" i="2"/>
  <c r="BQ501" i="2"/>
  <c r="BS502" i="2"/>
  <c r="BP580" i="2"/>
  <c r="BR711" i="2"/>
  <c r="BR631" i="2" s="1"/>
  <c r="BP175" i="2"/>
  <c r="Q804" i="2"/>
  <c r="Z804" i="2" s="1"/>
  <c r="Z805" i="2"/>
  <c r="BW94" i="2"/>
  <c r="BU94" i="2"/>
  <c r="BR816" i="2"/>
  <c r="R809" i="2"/>
  <c r="M175" i="3" s="1"/>
  <c r="R17" i="2"/>
  <c r="R16" i="2" s="1"/>
  <c r="BS147" i="2"/>
  <c r="BQ146" i="2"/>
  <c r="BT196" i="2"/>
  <c r="BS252" i="2"/>
  <c r="BQ251" i="2"/>
  <c r="BS340" i="2"/>
  <c r="BV341" i="2"/>
  <c r="BQ262" i="2"/>
  <c r="BS263" i="2"/>
  <c r="BR259" i="2"/>
  <c r="BR808" i="2"/>
  <c r="BQ315" i="2"/>
  <c r="BQ806" i="2" s="1"/>
  <c r="BS316" i="2"/>
  <c r="BU374" i="2"/>
  <c r="U400" i="2"/>
  <c r="J406" i="2"/>
  <c r="I406" i="2"/>
  <c r="P485" i="2"/>
  <c r="Y485" i="2" s="1"/>
  <c r="Y486" i="2"/>
  <c r="BQ364" i="2"/>
  <c r="BS365" i="2"/>
  <c r="BS472" i="2"/>
  <c r="BQ471" i="2"/>
  <c r="BP539" i="2"/>
  <c r="BU540" i="2"/>
  <c r="BU539" i="2" s="1"/>
  <c r="F12" i="3"/>
  <c r="J531" i="2"/>
  <c r="I531" i="2"/>
  <c r="G530" i="2"/>
  <c r="BS590" i="2"/>
  <c r="BV591" i="2"/>
  <c r="BV590" i="2" s="1"/>
  <c r="P711" i="2"/>
  <c r="Y711" i="2" s="1"/>
  <c r="BU741" i="2"/>
  <c r="BU740" i="2" s="1"/>
  <c r="BP740" i="2"/>
  <c r="BQ759" i="2"/>
  <c r="BS760" i="2"/>
  <c r="BQ773" i="2"/>
  <c r="BQ817" i="2" s="1"/>
  <c r="BS774" i="2"/>
  <c r="BD803" i="2"/>
  <c r="I806" i="2"/>
  <c r="H3" i="2"/>
  <c r="BM803" i="2"/>
  <c r="M172" i="3"/>
  <c r="N172" i="3" s="1"/>
  <c r="BQ10" i="2"/>
  <c r="BS11" i="2"/>
  <c r="BU365" i="2"/>
  <c r="BU364" i="2" s="1"/>
  <c r="BP364" i="2"/>
  <c r="BW644" i="2"/>
  <c r="BU644" i="2"/>
  <c r="BU698" i="2"/>
  <c r="BP697" i="2"/>
  <c r="U809" i="2"/>
  <c r="X18" i="2"/>
  <c r="O17" i="2"/>
  <c r="BS140" i="2"/>
  <c r="BQ139" i="2"/>
  <c r="J815" i="2"/>
  <c r="I815" i="2"/>
  <c r="BS116" i="2"/>
  <c r="BQ115" i="2"/>
  <c r="BU255" i="2"/>
  <c r="BU254" i="2" s="1"/>
  <c r="BP254" i="2"/>
  <c r="BP471" i="2"/>
  <c r="BU472" i="2"/>
  <c r="BU471" i="2" s="1"/>
  <c r="BQ539" i="2"/>
  <c r="BS540" i="2"/>
  <c r="BQ567" i="2"/>
  <c r="BS568" i="2"/>
  <c r="I618" i="2"/>
  <c r="J618" i="2"/>
  <c r="G605" i="2"/>
  <c r="BU21" i="2"/>
  <c r="BU207" i="2"/>
  <c r="BU206" i="2" s="1"/>
  <c r="U813" i="2"/>
  <c r="BQ207" i="2"/>
  <c r="BS208" i="2"/>
  <c r="BQ357" i="2"/>
  <c r="BS358" i="2"/>
  <c r="X490" i="2"/>
  <c r="O489" i="2"/>
  <c r="X489" i="2" s="1"/>
  <c r="BS493" i="2"/>
  <c r="BQ491" i="2"/>
  <c r="BS635" i="2"/>
  <c r="BV636" i="2"/>
  <c r="BV635" i="2" s="1"/>
  <c r="BQ86" i="2"/>
  <c r="BS87" i="2"/>
  <c r="Z17" i="2"/>
  <c r="Q16" i="2"/>
  <c r="BQ149" i="2"/>
  <c r="BS150" i="2"/>
  <c r="BR250" i="2"/>
  <c r="V328" i="2"/>
  <c r="V272" i="2" s="1"/>
  <c r="V271" i="2" s="1"/>
  <c r="BU367" i="2"/>
  <c r="BU366" i="2" s="1"/>
  <c r="BP366" i="2"/>
  <c r="BP810" i="2" s="1"/>
  <c r="BP544" i="2"/>
  <c r="BP543" i="2" s="1"/>
  <c r="BU545" i="2"/>
  <c r="BU544" i="2" s="1"/>
  <c r="BS628" i="2"/>
  <c r="BQ627" i="2"/>
  <c r="BS564" i="2"/>
  <c r="BQ563" i="2"/>
  <c r="BQ581" i="2"/>
  <c r="BQ580" i="2" s="1"/>
  <c r="BS582" i="2"/>
  <c r="U805" i="2"/>
  <c r="U5" i="2"/>
  <c r="U4" i="2" s="1"/>
  <c r="BQ13" i="2"/>
  <c r="BQ12" i="2" s="1"/>
  <c r="BS14" i="2"/>
  <c r="BP97" i="2"/>
  <c r="Y17" i="2"/>
  <c r="BQ104" i="2"/>
  <c r="U103" i="2"/>
  <c r="U814" i="2" s="1"/>
  <c r="G186" i="2"/>
  <c r="W812" i="2"/>
  <c r="U806" i="2"/>
  <c r="BS321" i="2"/>
  <c r="BQ320" i="2"/>
  <c r="BQ319" i="2" s="1"/>
  <c r="BQ292" i="2"/>
  <c r="BS293" i="2"/>
  <c r="BW377" i="2"/>
  <c r="BU377" i="2"/>
  <c r="BU523" i="2"/>
  <c r="BU522" i="2" s="1"/>
  <c r="BP522" i="2"/>
  <c r="BW410" i="2"/>
  <c r="BU410" i="2"/>
  <c r="I631" i="2"/>
  <c r="BQ697" i="2"/>
  <c r="BS698" i="2"/>
  <c r="BT805" i="2"/>
  <c r="K804" i="2"/>
  <c r="BP186" i="2"/>
  <c r="I812" i="2"/>
  <c r="J812" i="2"/>
  <c r="BP93" i="2"/>
  <c r="BN91" i="2"/>
  <c r="BN812" i="2" s="1"/>
  <c r="BQ151" i="2"/>
  <c r="BS152" i="2"/>
  <c r="U112" i="2"/>
  <c r="BR806" i="2"/>
  <c r="BN328" i="2"/>
  <c r="BN490" i="2"/>
  <c r="BN489" i="2" s="1"/>
  <c r="BU369" i="2"/>
  <c r="BU368" i="2" s="1"/>
  <c r="BP368" i="2"/>
  <c r="BU626" i="2"/>
  <c r="BU625" i="2" s="1"/>
  <c r="BU624" i="2" s="1"/>
  <c r="BP625" i="2"/>
  <c r="BQ532" i="2"/>
  <c r="BQ531" i="2" s="1"/>
  <c r="BS533" i="2"/>
  <c r="BU577" i="2"/>
  <c r="W605" i="2"/>
  <c r="BW639" i="2"/>
  <c r="BT637" i="2"/>
  <c r="BT631" i="2" s="1"/>
  <c r="BP643" i="2"/>
  <c r="BN637" i="2"/>
  <c r="BN807" i="2" s="1"/>
  <c r="W711" i="2"/>
  <c r="W631" i="2" s="1"/>
  <c r="BU176" i="2"/>
  <c r="BU175" i="2" s="1"/>
  <c r="N175" i="3"/>
  <c r="BN811" i="2"/>
  <c r="BN250" i="2"/>
  <c r="BN157" i="2" s="1"/>
  <c r="BR206" i="2"/>
  <c r="BR157" i="2" s="1"/>
  <c r="U237" i="2"/>
  <c r="BU293" i="2"/>
  <c r="BU292" i="2" s="1"/>
  <c r="BP292" i="2"/>
  <c r="BU346" i="2"/>
  <c r="BU345" i="2" s="1"/>
  <c r="BU339" i="2" s="1"/>
  <c r="BP345" i="2"/>
  <c r="BP808" i="2" s="1"/>
  <c r="Y423" i="2"/>
  <c r="P420" i="2"/>
  <c r="Y420" i="2" s="1"/>
  <c r="BQ522" i="2"/>
  <c r="BS523" i="2"/>
  <c r="U349" i="2"/>
  <c r="BS402" i="2"/>
  <c r="BQ401" i="2"/>
  <c r="BQ400" i="2" s="1"/>
  <c r="BU482" i="2"/>
  <c r="BU481" i="2" s="1"/>
  <c r="BP481" i="2"/>
  <c r="BW482" i="2"/>
  <c r="BW481" i="2" s="1"/>
  <c r="BQ550" i="2"/>
  <c r="BS551" i="2"/>
  <c r="R631" i="2"/>
  <c r="R529" i="2" s="1"/>
  <c r="BQ722" i="2"/>
  <c r="BS723" i="2"/>
  <c r="L90" i="3"/>
  <c r="L96" i="3" s="1"/>
  <c r="L62" i="3"/>
  <c r="I796" i="2"/>
  <c r="M797" i="2"/>
  <c r="N789" i="2" s="1"/>
  <c r="M62" i="3" s="1"/>
  <c r="L271" i="2"/>
  <c r="BT806" i="2"/>
  <c r="BN804" i="2" l="1"/>
  <c r="BU186" i="2"/>
  <c r="I384" i="2"/>
  <c r="I9" i="3"/>
  <c r="BU112" i="2"/>
  <c r="R787" i="2"/>
  <c r="G787" i="2" s="1"/>
  <c r="R3" i="2"/>
  <c r="U157" i="2"/>
  <c r="BS104" i="2"/>
  <c r="BQ103" i="2"/>
  <c r="Z16" i="2"/>
  <c r="BS146" i="2"/>
  <c r="BV147" i="2"/>
  <c r="BS113" i="2"/>
  <c r="BV114" i="2"/>
  <c r="BS718" i="2"/>
  <c r="BV719" i="2"/>
  <c r="BV106" i="2"/>
  <c r="BS105" i="2"/>
  <c r="BS745" i="2"/>
  <c r="BV746" i="2"/>
  <c r="BV713" i="2"/>
  <c r="BS712" i="2"/>
  <c r="BV405" i="2"/>
  <c r="BS404" i="2"/>
  <c r="BV763" i="2"/>
  <c r="BS762" i="2"/>
  <c r="BS516" i="2"/>
  <c r="BV517" i="2"/>
  <c r="BV371" i="2"/>
  <c r="BS370" i="2"/>
  <c r="BS317" i="2"/>
  <c r="BV318" i="2"/>
  <c r="BS187" i="2"/>
  <c r="BS186" i="2" s="1"/>
  <c r="BV188" i="2"/>
  <c r="L785" i="2"/>
  <c r="L3" i="2"/>
  <c r="BV523" i="2"/>
  <c r="BS522" i="2"/>
  <c r="BS627" i="2"/>
  <c r="BV628" i="2"/>
  <c r="I530" i="2"/>
  <c r="J530" i="2"/>
  <c r="BV354" i="2"/>
  <c r="BS353" i="2"/>
  <c r="BP158" i="2"/>
  <c r="BV198" i="2"/>
  <c r="BS197" i="2"/>
  <c r="BW695" i="2"/>
  <c r="BU695" i="2"/>
  <c r="BU693" i="2" s="1"/>
  <c r="BP693" i="2"/>
  <c r="BV356" i="2"/>
  <c r="BS355" i="2"/>
  <c r="BS556" i="2"/>
  <c r="BV557" i="2"/>
  <c r="BV726" i="2"/>
  <c r="BS725" i="2"/>
  <c r="BQ624" i="2"/>
  <c r="BQ744" i="2"/>
  <c r="BQ711" i="2" s="1"/>
  <c r="K803" i="2"/>
  <c r="B798" i="2"/>
  <c r="C798" i="2" s="1"/>
  <c r="O789" i="2"/>
  <c r="BV706" i="2"/>
  <c r="BS705" i="2"/>
  <c r="O384" i="2"/>
  <c r="X384" i="2" s="1"/>
  <c r="X385" i="2"/>
  <c r="BV723" i="2"/>
  <c r="BS722" i="2"/>
  <c r="BP624" i="2"/>
  <c r="BV582" i="2"/>
  <c r="BS581" i="2"/>
  <c r="BS580" i="2" s="1"/>
  <c r="BU543" i="2"/>
  <c r="BS86" i="2"/>
  <c r="BV87" i="2"/>
  <c r="BQ490" i="2"/>
  <c r="BQ489" i="2" s="1"/>
  <c r="BV208" i="2"/>
  <c r="BS207" i="2"/>
  <c r="BS206" i="2" s="1"/>
  <c r="O16" i="2"/>
  <c r="X17" i="2"/>
  <c r="BU697" i="2"/>
  <c r="BU810" i="2" s="1"/>
  <c r="BV11" i="2"/>
  <c r="BS10" i="2"/>
  <c r="Z420" i="2"/>
  <c r="Q384" i="2"/>
  <c r="Z384" i="2" s="1"/>
  <c r="BU808" i="2"/>
  <c r="BT811" i="2"/>
  <c r="BS615" i="2"/>
  <c r="BV616" i="2"/>
  <c r="BS275" i="2"/>
  <c r="BQ274" i="2"/>
  <c r="BQ273" i="2" s="1"/>
  <c r="BQ141" i="2"/>
  <c r="BR529" i="2"/>
  <c r="BV527" i="2"/>
  <c r="BS526" i="2"/>
  <c r="BV758" i="2"/>
  <c r="BS757" i="2"/>
  <c r="BV597" i="2"/>
  <c r="BS596" i="2"/>
  <c r="BU141" i="2"/>
  <c r="W529" i="2"/>
  <c r="J17" i="2"/>
  <c r="BS625" i="2"/>
  <c r="BS624" i="2" s="1"/>
  <c r="BV626" i="2"/>
  <c r="L183" i="3"/>
  <c r="N171" i="3"/>
  <c r="N183" i="3" s="1"/>
  <c r="O529" i="2"/>
  <c r="X530" i="2"/>
  <c r="W157" i="2"/>
  <c r="BW636" i="2"/>
  <c r="BW635" i="2" s="1"/>
  <c r="P157" i="2"/>
  <c r="Y157" i="2" s="1"/>
  <c r="BS335" i="2"/>
  <c r="BV336" i="2"/>
  <c r="G785" i="2"/>
  <c r="O631" i="2"/>
  <c r="BS347" i="2"/>
  <c r="BV348" i="2"/>
  <c r="BP490" i="2"/>
  <c r="BP489" i="2" s="1"/>
  <c r="Q272" i="2"/>
  <c r="BQ816" i="2"/>
  <c r="Y141" i="2"/>
  <c r="P112" i="2"/>
  <c r="BU391" i="2"/>
  <c r="BU385" i="2" s="1"/>
  <c r="BU384" i="2" s="1"/>
  <c r="BQ406" i="2"/>
  <c r="BP259" i="2"/>
  <c r="BS264" i="2"/>
  <c r="BV265" i="2"/>
  <c r="X273" i="2"/>
  <c r="O272" i="2"/>
  <c r="BV127" i="2"/>
  <c r="BS126" i="2"/>
  <c r="BU814" i="2"/>
  <c r="BQ349" i="2"/>
  <c r="BQ810" i="2"/>
  <c r="U807" i="2"/>
  <c r="U804" i="2" s="1"/>
  <c r="BV708" i="2"/>
  <c r="BS707" i="2"/>
  <c r="BT329" i="2"/>
  <c r="BT328" i="2" s="1"/>
  <c r="BT272" i="2" s="1"/>
  <c r="BT271" i="2" s="1"/>
  <c r="BT808" i="2"/>
  <c r="S271" i="2"/>
  <c r="M123" i="3"/>
  <c r="M144" i="3"/>
  <c r="M149" i="3" s="1"/>
  <c r="BR807" i="2"/>
  <c r="BQ385" i="2"/>
  <c r="BQ384" i="2" s="1"/>
  <c r="BV322" i="2"/>
  <c r="BW323" i="2"/>
  <c r="BW322" i="2" s="1"/>
  <c r="U17" i="2"/>
  <c r="U16" i="2" s="1"/>
  <c r="BV152" i="2"/>
  <c r="BV151" i="2" s="1"/>
  <c r="BS151" i="2"/>
  <c r="BS320" i="2"/>
  <c r="BS319" i="2" s="1"/>
  <c r="BV321" i="2"/>
  <c r="BV340" i="2"/>
  <c r="BW341" i="2"/>
  <c r="BW340" i="2" s="1"/>
  <c r="BS501" i="2"/>
  <c r="BV502" i="2"/>
  <c r="V16" i="2"/>
  <c r="N797" i="2"/>
  <c r="N795" i="2"/>
  <c r="N794" i="2"/>
  <c r="N790" i="2"/>
  <c r="M63" i="3" s="1"/>
  <c r="N792" i="2"/>
  <c r="M65" i="3" s="1"/>
  <c r="N793" i="2"/>
  <c r="M66" i="3" s="1"/>
  <c r="N791" i="2"/>
  <c r="M64" i="3" s="1"/>
  <c r="N796" i="2"/>
  <c r="M67" i="3" s="1"/>
  <c r="BQ206" i="2"/>
  <c r="BQ157" i="2" s="1"/>
  <c r="BQ814" i="2"/>
  <c r="BV774" i="2"/>
  <c r="BS773" i="2"/>
  <c r="BS817" i="2" s="1"/>
  <c r="BS471" i="2"/>
  <c r="BV472" i="2"/>
  <c r="BS251" i="2"/>
  <c r="BS250" i="2" s="1"/>
  <c r="BV252" i="2"/>
  <c r="X805" i="2"/>
  <c r="O804" i="2"/>
  <c r="X804" i="2" s="1"/>
  <c r="BQ420" i="2"/>
  <c r="BU487" i="2"/>
  <c r="BU486" i="2" s="1"/>
  <c r="BU485" i="2" s="1"/>
  <c r="BP486" i="2"/>
  <c r="BP485" i="2" s="1"/>
  <c r="BS142" i="2"/>
  <c r="BV143" i="2"/>
  <c r="V804" i="2"/>
  <c r="BV129" i="2"/>
  <c r="BS128" i="2"/>
  <c r="BW478" i="2"/>
  <c r="BW477" i="2" s="1"/>
  <c r="BU478" i="2"/>
  <c r="BU477" i="2" s="1"/>
  <c r="BU420" i="2" s="1"/>
  <c r="BP477" i="2"/>
  <c r="BP420" i="2" s="1"/>
  <c r="BV291" i="2"/>
  <c r="BS290" i="2"/>
  <c r="BV553" i="2"/>
  <c r="BS552" i="2"/>
  <c r="BV324" i="2"/>
  <c r="BW325" i="2"/>
  <c r="BW324" i="2" s="1"/>
  <c r="BS240" i="2"/>
  <c r="BV241" i="2"/>
  <c r="U631" i="2"/>
  <c r="W804" i="2"/>
  <c r="Q529" i="2"/>
  <c r="Z529" i="2" s="1"/>
  <c r="Z530" i="2"/>
  <c r="BS394" i="2"/>
  <c r="BV395" i="2"/>
  <c r="BV163" i="2"/>
  <c r="BS162" i="2"/>
  <c r="BS158" i="2" s="1"/>
  <c r="I16" i="2"/>
  <c r="BU5" i="2"/>
  <c r="BU4" i="2" s="1"/>
  <c r="BS407" i="2"/>
  <c r="BV408" i="2"/>
  <c r="C34" i="3"/>
  <c r="I4" i="2"/>
  <c r="BU633" i="2"/>
  <c r="BU632" i="2" s="1"/>
  <c r="BP632" i="2"/>
  <c r="BV741" i="2"/>
  <c r="BS740" i="2"/>
  <c r="BV351" i="2"/>
  <c r="BS350" i="2"/>
  <c r="BS59" i="2"/>
  <c r="BV60" i="2"/>
  <c r="BV610" i="2"/>
  <c r="BS609" i="2"/>
  <c r="BS343" i="2"/>
  <c r="BS339" i="2" s="1"/>
  <c r="BV344" i="2"/>
  <c r="BU279" i="2"/>
  <c r="W384" i="2"/>
  <c r="W271" i="2" s="1"/>
  <c r="BS337" i="2"/>
  <c r="BV338" i="2"/>
  <c r="BV97" i="2"/>
  <c r="BW98" i="2"/>
  <c r="BW97" i="2" s="1"/>
  <c r="Y530" i="2"/>
  <c r="P529" i="2"/>
  <c r="Y529" i="2" s="1"/>
  <c r="BV480" i="2"/>
  <c r="BS479" i="2"/>
  <c r="BS144" i="2"/>
  <c r="BV145" i="2"/>
  <c r="BP531" i="2"/>
  <c r="BP530" i="2" s="1"/>
  <c r="BS386" i="2"/>
  <c r="BV387" i="2"/>
  <c r="P804" i="2"/>
  <c r="Y804" i="2" s="1"/>
  <c r="T171" i="3"/>
  <c r="R144" i="3"/>
  <c r="R149" i="3" s="1"/>
  <c r="T149" i="3" s="1"/>
  <c r="E803" i="2"/>
  <c r="BV316" i="2"/>
  <c r="BS315" i="2"/>
  <c r="BS806" i="2" s="1"/>
  <c r="BP813" i="2"/>
  <c r="I800" i="2"/>
  <c r="J796" i="2"/>
  <c r="J800" i="2" s="1"/>
  <c r="BS697" i="2"/>
  <c r="BV698" i="2"/>
  <c r="BS13" i="2"/>
  <c r="BS12" i="2" s="1"/>
  <c r="BV14" i="2"/>
  <c r="BV150" i="2"/>
  <c r="BS149" i="2"/>
  <c r="BV568" i="2"/>
  <c r="BS567" i="2"/>
  <c r="BS566" i="2" s="1"/>
  <c r="BV365" i="2"/>
  <c r="BS364" i="2"/>
  <c r="BS262" i="2"/>
  <c r="BV263" i="2"/>
  <c r="J580" i="2"/>
  <c r="I580" i="2"/>
  <c r="BS166" i="2"/>
  <c r="BV167" i="2"/>
  <c r="BU811" i="2"/>
  <c r="BQ328" i="2"/>
  <c r="I35" i="3"/>
  <c r="X157" i="2"/>
  <c r="BQ5" i="2"/>
  <c r="BQ4" i="2" s="1"/>
  <c r="BV422" i="2"/>
  <c r="BS421" i="2"/>
  <c r="BS420" i="2" s="1"/>
  <c r="BS117" i="2"/>
  <c r="BV118" i="2"/>
  <c r="L147" i="3"/>
  <c r="N147" i="3" s="1"/>
  <c r="S112" i="2"/>
  <c r="BQ812" i="2"/>
  <c r="P384" i="2"/>
  <c r="Y384" i="2" s="1"/>
  <c r="V529" i="2"/>
  <c r="BS333" i="2"/>
  <c r="BS329" i="2" s="1"/>
  <c r="BV334" i="2"/>
  <c r="BS379" i="2"/>
  <c r="BS378" i="2" s="1"/>
  <c r="BV380" i="2"/>
  <c r="BP400" i="2"/>
  <c r="BP385" i="2" s="1"/>
  <c r="BU490" i="2"/>
  <c r="BU489" i="2" s="1"/>
  <c r="BS374" i="2"/>
  <c r="BV375" i="2"/>
  <c r="BQ632" i="2"/>
  <c r="BQ805" i="2" s="1"/>
  <c r="BS633" i="2"/>
  <c r="BP515" i="2"/>
  <c r="BV369" i="2"/>
  <c r="BS368" i="2"/>
  <c r="BS246" i="2"/>
  <c r="BV247" i="2"/>
  <c r="I33" i="3"/>
  <c r="X4" i="2"/>
  <c r="J4" i="2"/>
  <c r="BV419" i="2"/>
  <c r="BS418" i="2"/>
  <c r="BQ605" i="2"/>
  <c r="BP559" i="2"/>
  <c r="BQ311" i="2"/>
  <c r="BS593" i="2"/>
  <c r="BV594" i="2"/>
  <c r="BP359" i="2"/>
  <c r="BS360" i="2"/>
  <c r="BV361" i="2"/>
  <c r="G565" i="2"/>
  <c r="BQ807" i="2"/>
  <c r="BS304" i="2"/>
  <c r="BV305" i="2"/>
  <c r="BV525" i="2"/>
  <c r="BS524" i="2"/>
  <c r="BS260" i="2"/>
  <c r="BS259" i="2" s="1"/>
  <c r="BV261" i="2"/>
  <c r="BQ543" i="2"/>
  <c r="BQ530" i="2" s="1"/>
  <c r="J385" i="2"/>
  <c r="BN631" i="2"/>
  <c r="BN529" i="2" s="1"/>
  <c r="BS295" i="2"/>
  <c r="BV296" i="2"/>
  <c r="BP237" i="2"/>
  <c r="BV542" i="2"/>
  <c r="BS541" i="2"/>
  <c r="BW331" i="2"/>
  <c r="BW330" i="2" s="1"/>
  <c r="BS121" i="2"/>
  <c r="BV122" i="2"/>
  <c r="BU605" i="2"/>
  <c r="BU565" i="2" s="1"/>
  <c r="BR486" i="2"/>
  <c r="BS487" i="2"/>
  <c r="BN272" i="2"/>
  <c r="BN271" i="2" s="1"/>
  <c r="BS46" i="2"/>
  <c r="BV47" i="2"/>
  <c r="BU407" i="2"/>
  <c r="BU406" i="2" s="1"/>
  <c r="H785" i="2"/>
  <c r="J785" i="2" s="1"/>
  <c r="H789" i="2"/>
  <c r="BV358" i="2"/>
  <c r="BS357" i="2"/>
  <c r="C9" i="3"/>
  <c r="H803" i="2"/>
  <c r="BS176" i="2"/>
  <c r="BV177" i="2"/>
  <c r="BU93" i="2"/>
  <c r="BU91" i="2" s="1"/>
  <c r="BU812" i="2" s="1"/>
  <c r="BW93" i="2"/>
  <c r="BP91" i="2"/>
  <c r="BP812" i="2" s="1"/>
  <c r="BV293" i="2"/>
  <c r="BS292" i="2"/>
  <c r="F8" i="3"/>
  <c r="J186" i="2"/>
  <c r="I186" i="2"/>
  <c r="BQ811" i="2"/>
  <c r="BV493" i="2"/>
  <c r="BS491" i="2"/>
  <c r="BS490" i="2" s="1"/>
  <c r="BS489" i="2" s="1"/>
  <c r="BS115" i="2"/>
  <c r="BV116" i="2"/>
  <c r="BS550" i="2"/>
  <c r="BV551" i="2"/>
  <c r="BS401" i="2"/>
  <c r="BS400" i="2" s="1"/>
  <c r="BV402" i="2"/>
  <c r="BS563" i="2"/>
  <c r="BV564" i="2"/>
  <c r="BQ566" i="2"/>
  <c r="BQ565" i="2" s="1"/>
  <c r="BS759" i="2"/>
  <c r="BV760" i="2"/>
  <c r="U529" i="2"/>
  <c r="BQ112" i="2"/>
  <c r="BV392" i="2"/>
  <c r="BS391" i="2"/>
  <c r="BU158" i="2"/>
  <c r="BV7" i="2"/>
  <c r="BS6" i="2"/>
  <c r="U328" i="2"/>
  <c r="U272" i="2" s="1"/>
  <c r="U271" i="2" s="1"/>
  <c r="BV367" i="2"/>
  <c r="BS366" i="2"/>
  <c r="BU762" i="2"/>
  <c r="BS398" i="2"/>
  <c r="BV399" i="2"/>
  <c r="BS91" i="2"/>
  <c r="BV92" i="2"/>
  <c r="BV424" i="2"/>
  <c r="BS423" i="2"/>
  <c r="BS282" i="2"/>
  <c r="BV283" i="2"/>
  <c r="BS637" i="2"/>
  <c r="BV638" i="2"/>
  <c r="BS254" i="2"/>
  <c r="BV255" i="2"/>
  <c r="BV721" i="2"/>
  <c r="BS720" i="2"/>
  <c r="BU515" i="2"/>
  <c r="BS606" i="2"/>
  <c r="BS605" i="2" s="1"/>
  <c r="BV607" i="2"/>
  <c r="BS312" i="2"/>
  <c r="BV313" i="2"/>
  <c r="BQ359" i="2"/>
  <c r="BP816" i="2"/>
  <c r="BP5" i="2"/>
  <c r="BP4" i="2" s="1"/>
  <c r="BS227" i="2"/>
  <c r="BV228" i="2"/>
  <c r="BS21" i="2"/>
  <c r="BV22" i="2"/>
  <c r="BV694" i="2"/>
  <c r="BS693" i="2"/>
  <c r="BQ259" i="2"/>
  <c r="BQ250" i="2" s="1"/>
  <c r="BS544" i="2"/>
  <c r="BS543" i="2" s="1"/>
  <c r="BV545" i="2"/>
  <c r="BQ515" i="2"/>
  <c r="BV258" i="2"/>
  <c r="BS257" i="2"/>
  <c r="BU237" i="2"/>
  <c r="BS238" i="2"/>
  <c r="BV239" i="2"/>
  <c r="BP328" i="2"/>
  <c r="BS279" i="2"/>
  <c r="BV280" i="2"/>
  <c r="BP605" i="2"/>
  <c r="BP565" i="2" s="1"/>
  <c r="BV561" i="2"/>
  <c r="BS560" i="2"/>
  <c r="BP274" i="2"/>
  <c r="BP273" i="2" s="1"/>
  <c r="BU275" i="2"/>
  <c r="BU274" i="2" s="1"/>
  <c r="BU273" i="2" s="1"/>
  <c r="BQ809" i="2"/>
  <c r="BT807" i="2"/>
  <c r="BU19" i="2"/>
  <c r="BU18" i="2" s="1"/>
  <c r="BP18" i="2"/>
  <c r="BP805" i="2" s="1"/>
  <c r="BP804" i="2" s="1"/>
  <c r="T803" i="2"/>
  <c r="BO809" i="2"/>
  <c r="BT809" i="2"/>
  <c r="BS532" i="2"/>
  <c r="BV533" i="2"/>
  <c r="BV540" i="2"/>
  <c r="BS539" i="2"/>
  <c r="BS306" i="2"/>
  <c r="BS813" i="2" s="1"/>
  <c r="BV307" i="2"/>
  <c r="J489" i="2"/>
  <c r="I489" i="2"/>
  <c r="BV202" i="2"/>
  <c r="BS201" i="2"/>
  <c r="G271" i="2"/>
  <c r="J808" i="2"/>
  <c r="I808" i="2"/>
  <c r="BS577" i="2"/>
  <c r="BV578" i="2"/>
  <c r="BS345" i="2"/>
  <c r="BV346" i="2"/>
  <c r="BQ237" i="2"/>
  <c r="BU328" i="2"/>
  <c r="BS180" i="2"/>
  <c r="BV181" i="2"/>
  <c r="BP250" i="2"/>
  <c r="BV536" i="2"/>
  <c r="BS535" i="2"/>
  <c r="BN17" i="2"/>
  <c r="BN16" i="2" s="1"/>
  <c r="BW643" i="2"/>
  <c r="BU643" i="2"/>
  <c r="BU637" i="2" s="1"/>
  <c r="BU807" i="2" s="1"/>
  <c r="BP637" i="2"/>
  <c r="I605" i="2"/>
  <c r="J605" i="2"/>
  <c r="BS139" i="2"/>
  <c r="BV140" i="2"/>
  <c r="BS458" i="2"/>
  <c r="BV459" i="2"/>
  <c r="G157" i="2"/>
  <c r="BS244" i="2"/>
  <c r="BV245" i="2"/>
  <c r="BP815" i="2"/>
  <c r="BQ815" i="2"/>
  <c r="BW461" i="2"/>
  <c r="BW460" i="2" s="1"/>
  <c r="BP141" i="2"/>
  <c r="BP112" i="2" s="1"/>
  <c r="P631" i="2"/>
  <c r="Y631" i="2" s="1"/>
  <c r="Y328" i="2"/>
  <c r="P272" i="2"/>
  <c r="S16" i="2"/>
  <c r="BV108" i="2"/>
  <c r="BS107" i="2"/>
  <c r="BS816" i="2" s="1"/>
  <c r="BW591" i="2"/>
  <c r="BW590" i="2" s="1"/>
  <c r="BU104" i="2"/>
  <c r="BU103" i="2" s="1"/>
  <c r="BP103" i="2"/>
  <c r="BP814" i="2"/>
  <c r="F11" i="3"/>
  <c r="I328" i="2"/>
  <c r="J328" i="2"/>
  <c r="BS570" i="2"/>
  <c r="BV571" i="2"/>
  <c r="BO384" i="2"/>
  <c r="BO271" i="2" s="1"/>
  <c r="BO3" i="2" s="1"/>
  <c r="BV200" i="2"/>
  <c r="BS199" i="2"/>
  <c r="M183" i="3"/>
  <c r="BV620" i="2"/>
  <c r="BS619" i="2"/>
  <c r="BS618" i="2" s="1"/>
  <c r="BU370" i="2"/>
  <c r="BU359" i="2" s="1"/>
  <c r="BU250" i="2"/>
  <c r="BS154" i="2"/>
  <c r="BV155" i="2"/>
  <c r="BT206" i="2"/>
  <c r="BT157" i="2" s="1"/>
  <c r="BT3" i="2" s="1"/>
  <c r="BT812" i="2"/>
  <c r="BT804" i="2" s="1"/>
  <c r="BS19" i="2"/>
  <c r="BQ18" i="2"/>
  <c r="BU535" i="2"/>
  <c r="BU531" i="2" s="1"/>
  <c r="BU530" i="2" s="1"/>
  <c r="BQ804" i="2" l="1"/>
  <c r="U3" i="2"/>
  <c r="U803" i="2" s="1"/>
  <c r="U787" i="2"/>
  <c r="W787" i="2"/>
  <c r="W3" i="2"/>
  <c r="W803" i="2" s="1"/>
  <c r="H791" i="2"/>
  <c r="BO803" i="2"/>
  <c r="BP384" i="2"/>
  <c r="I117" i="3"/>
  <c r="BT803" i="2"/>
  <c r="BN3" i="2"/>
  <c r="BS18" i="2"/>
  <c r="BS805" i="2" s="1"/>
  <c r="BS804" i="2" s="1"/>
  <c r="BV19" i="2"/>
  <c r="BS486" i="2"/>
  <c r="BS485" i="2" s="1"/>
  <c r="BV487" i="2"/>
  <c r="BV227" i="2"/>
  <c r="BW228" i="2"/>
  <c r="BW227" i="2" s="1"/>
  <c r="BV366" i="2"/>
  <c r="BW367" i="2"/>
  <c r="BW366" i="2" s="1"/>
  <c r="BR485" i="2"/>
  <c r="BR384" i="2" s="1"/>
  <c r="BR271" i="2" s="1"/>
  <c r="BR3" i="2" s="1"/>
  <c r="BR809" i="2"/>
  <c r="BR804" i="2" s="1"/>
  <c r="BV541" i="2"/>
  <c r="BW542" i="2"/>
  <c r="BW541" i="2" s="1"/>
  <c r="BV567" i="2"/>
  <c r="BW568" i="2"/>
  <c r="BW567" i="2" s="1"/>
  <c r="BW566" i="2" s="1"/>
  <c r="BV337" i="2"/>
  <c r="BW338" i="2"/>
  <c r="BW337" i="2" s="1"/>
  <c r="BV201" i="2"/>
  <c r="BW202" i="2"/>
  <c r="BW201" i="2" s="1"/>
  <c r="BV619" i="2"/>
  <c r="BV618" i="2" s="1"/>
  <c r="BW620" i="2"/>
  <c r="BW619" i="2" s="1"/>
  <c r="BW618" i="2" s="1"/>
  <c r="BP272" i="2"/>
  <c r="BP271" i="2" s="1"/>
  <c r="BV693" i="2"/>
  <c r="BW694" i="2"/>
  <c r="BW693" i="2" s="1"/>
  <c r="BV398" i="2"/>
  <c r="BW399" i="2"/>
  <c r="BW398" i="2" s="1"/>
  <c r="BS5" i="2"/>
  <c r="BS4" i="2" s="1"/>
  <c r="BS175" i="2"/>
  <c r="BV121" i="2"/>
  <c r="BW122" i="2"/>
  <c r="BW121" i="2" s="1"/>
  <c r="BV295" i="2"/>
  <c r="BW296" i="2"/>
  <c r="BW295" i="2" s="1"/>
  <c r="BV374" i="2"/>
  <c r="BW375" i="2"/>
  <c r="BW374" i="2" s="1"/>
  <c r="BV333" i="2"/>
  <c r="BW334" i="2"/>
  <c r="BW333" i="2" s="1"/>
  <c r="BP631" i="2"/>
  <c r="BP529" i="2" s="1"/>
  <c r="BV244" i="2"/>
  <c r="BW245" i="2"/>
  <c r="BW244" i="2" s="1"/>
  <c r="BS531" i="2"/>
  <c r="BU17" i="2"/>
  <c r="BU16" i="2" s="1"/>
  <c r="BS559" i="2"/>
  <c r="BV21" i="2"/>
  <c r="BW22" i="2"/>
  <c r="BW21" i="2" s="1"/>
  <c r="BS311" i="2"/>
  <c r="BV254" i="2"/>
  <c r="BW255" i="2"/>
  <c r="BW254" i="2" s="1"/>
  <c r="BV6" i="2"/>
  <c r="BW7" i="2"/>
  <c r="BW6" i="2" s="1"/>
  <c r="BW493" i="2"/>
  <c r="BW491" i="2" s="1"/>
  <c r="BV491" i="2"/>
  <c r="BV292" i="2"/>
  <c r="BW293" i="2"/>
  <c r="BW292" i="2" s="1"/>
  <c r="J789" i="2"/>
  <c r="C792" i="2"/>
  <c r="I565" i="2"/>
  <c r="J565" i="2"/>
  <c r="BU809" i="2"/>
  <c r="BV166" i="2"/>
  <c r="BW167" i="2"/>
  <c r="BW166" i="2" s="1"/>
  <c r="BV13" i="2"/>
  <c r="BV12" i="2" s="1"/>
  <c r="BW14" i="2"/>
  <c r="BW13" i="2" s="1"/>
  <c r="BW12" i="2" s="1"/>
  <c r="BS810" i="2"/>
  <c r="BU631" i="2"/>
  <c r="BU529" i="2" s="1"/>
  <c r="BV407" i="2"/>
  <c r="BW408" i="2"/>
  <c r="BW407" i="2" s="1"/>
  <c r="BV162" i="2"/>
  <c r="BW163" i="2"/>
  <c r="BW162" i="2" s="1"/>
  <c r="BW158" i="2" s="1"/>
  <c r="BV552" i="2"/>
  <c r="BW553" i="2"/>
  <c r="BW552" i="2" s="1"/>
  <c r="BS141" i="2"/>
  <c r="BQ272" i="2"/>
  <c r="BQ271" i="2" s="1"/>
  <c r="BS811" i="2"/>
  <c r="BV722" i="2"/>
  <c r="BW723" i="2"/>
  <c r="BW722" i="2" s="1"/>
  <c r="M90" i="3"/>
  <c r="O797" i="2"/>
  <c r="P789" i="2"/>
  <c r="Q789" i="2"/>
  <c r="BV725" i="2"/>
  <c r="BW726" i="2"/>
  <c r="BW725" i="2" s="1"/>
  <c r="BV355" i="2"/>
  <c r="BW356" i="2"/>
  <c r="BW355" i="2" s="1"/>
  <c r="G529" i="2"/>
  <c r="BV370" i="2"/>
  <c r="BW371" i="2"/>
  <c r="BW370" i="2" s="1"/>
  <c r="BV404" i="2"/>
  <c r="BW405" i="2"/>
  <c r="BW404" i="2" s="1"/>
  <c r="BS815" i="2"/>
  <c r="BV146" i="2"/>
  <c r="BW147" i="2"/>
  <c r="BW146" i="2" s="1"/>
  <c r="BV104" i="2"/>
  <c r="BS103" i="2"/>
  <c r="BS814" i="2" s="1"/>
  <c r="R803" i="2"/>
  <c r="B800" i="2"/>
  <c r="C800" i="2" s="1"/>
  <c r="J384" i="2"/>
  <c r="BQ17" i="2"/>
  <c r="BQ16" i="2" s="1"/>
  <c r="BV306" i="2"/>
  <c r="BV813" i="2" s="1"/>
  <c r="BW307" i="2"/>
  <c r="BW306" i="2" s="1"/>
  <c r="BW813" i="2" s="1"/>
  <c r="I179" i="3" s="1"/>
  <c r="BV560" i="2"/>
  <c r="BW561" i="2"/>
  <c r="BW560" i="2" s="1"/>
  <c r="BS237" i="2"/>
  <c r="BV544" i="2"/>
  <c r="BW545" i="2"/>
  <c r="BW544" i="2" s="1"/>
  <c r="BS807" i="2"/>
  <c r="BV606" i="2"/>
  <c r="BW607" i="2"/>
  <c r="BW606" i="2" s="1"/>
  <c r="BU157" i="2"/>
  <c r="BV550" i="2"/>
  <c r="BW551" i="2"/>
  <c r="BW550" i="2" s="1"/>
  <c r="BW329" i="2"/>
  <c r="BV524" i="2"/>
  <c r="BW525" i="2"/>
  <c r="BW524" i="2" s="1"/>
  <c r="BV360" i="2"/>
  <c r="BW361" i="2"/>
  <c r="BW360" i="2" s="1"/>
  <c r="BV368" i="2"/>
  <c r="BW369" i="2"/>
  <c r="BW368" i="2" s="1"/>
  <c r="BV117" i="2"/>
  <c r="BW118" i="2"/>
  <c r="BW117" i="2" s="1"/>
  <c r="J157" i="2"/>
  <c r="BV364" i="2"/>
  <c r="BW365" i="2"/>
  <c r="BW364" i="2" s="1"/>
  <c r="BV144" i="2"/>
  <c r="BW145" i="2"/>
  <c r="BW144" i="2" s="1"/>
  <c r="BV343" i="2"/>
  <c r="BV339" i="2" s="1"/>
  <c r="BW344" i="2"/>
  <c r="BW343" i="2" s="1"/>
  <c r="BW339" i="2" s="1"/>
  <c r="BS349" i="2"/>
  <c r="BS328" i="2" s="1"/>
  <c r="BS406" i="2"/>
  <c r="BV394" i="2"/>
  <c r="BW395" i="2"/>
  <c r="BW394" i="2" s="1"/>
  <c r="BV240" i="2"/>
  <c r="BW241" i="2"/>
  <c r="BW240" i="2" s="1"/>
  <c r="BV128" i="2"/>
  <c r="BW129" i="2"/>
  <c r="BW128" i="2" s="1"/>
  <c r="BP811" i="2"/>
  <c r="BV773" i="2"/>
  <c r="BV817" i="2" s="1"/>
  <c r="BW774" i="2"/>
  <c r="BW773" i="2" s="1"/>
  <c r="BW817" i="2" s="1"/>
  <c r="BV320" i="2"/>
  <c r="BV319" i="2" s="1"/>
  <c r="BW321" i="2"/>
  <c r="BW320" i="2" s="1"/>
  <c r="BW319" i="2" s="1"/>
  <c r="BV707" i="2"/>
  <c r="BW708" i="2"/>
  <c r="BW707" i="2" s="1"/>
  <c r="BV126" i="2"/>
  <c r="BW127" i="2"/>
  <c r="BW126" i="2" s="1"/>
  <c r="Z272" i="2"/>
  <c r="Q271" i="2"/>
  <c r="F64" i="3"/>
  <c r="I785" i="2"/>
  <c r="BW152" i="2"/>
  <c r="BW151" i="2" s="1"/>
  <c r="BV275" i="2"/>
  <c r="BS274" i="2"/>
  <c r="BS273" i="2" s="1"/>
  <c r="I34" i="3"/>
  <c r="J16" i="2"/>
  <c r="X16" i="2"/>
  <c r="BP157" i="2"/>
  <c r="BV187" i="2"/>
  <c r="BV186" i="2" s="1"/>
  <c r="BW188" i="2"/>
  <c r="BW187" i="2" s="1"/>
  <c r="BW186" i="2" s="1"/>
  <c r="BV516" i="2"/>
  <c r="BW517" i="2"/>
  <c r="BW516" i="2" s="1"/>
  <c r="BV105" i="2"/>
  <c r="BW106" i="2"/>
  <c r="BW105" i="2" s="1"/>
  <c r="F66" i="3"/>
  <c r="I787" i="2"/>
  <c r="BV535" i="2"/>
  <c r="BW536" i="2"/>
  <c r="BW535" i="2" s="1"/>
  <c r="BV637" i="2"/>
  <c r="BW638" i="2"/>
  <c r="BW637" i="2" s="1"/>
  <c r="BV290" i="2"/>
  <c r="BV808" i="2" s="1"/>
  <c r="BW291" i="2"/>
  <c r="BW290" i="2" s="1"/>
  <c r="BV251" i="2"/>
  <c r="BW252" i="2"/>
  <c r="BW251" i="2" s="1"/>
  <c r="V787" i="2"/>
  <c r="V790" i="2" s="1"/>
  <c r="V3" i="2"/>
  <c r="V803" i="2" s="1"/>
  <c r="X272" i="2"/>
  <c r="O271" i="2"/>
  <c r="BV335" i="2"/>
  <c r="BW336" i="2"/>
  <c r="BW335" i="2" s="1"/>
  <c r="I37" i="3"/>
  <c r="X529" i="2"/>
  <c r="BV625" i="2"/>
  <c r="BV624" i="2" s="1"/>
  <c r="BW626" i="2"/>
  <c r="BW625" i="2" s="1"/>
  <c r="BV596" i="2"/>
  <c r="BW597" i="2"/>
  <c r="BW596" i="2" s="1"/>
  <c r="BV615" i="2"/>
  <c r="BW616" i="2"/>
  <c r="BW615" i="2" s="1"/>
  <c r="BV522" i="2"/>
  <c r="BW523" i="2"/>
  <c r="BW522" i="2" s="1"/>
  <c r="BS515" i="2"/>
  <c r="BV712" i="2"/>
  <c r="BW713" i="2"/>
  <c r="BW712" i="2" s="1"/>
  <c r="BV718" i="2"/>
  <c r="BW719" i="2"/>
  <c r="BW718" i="2" s="1"/>
  <c r="BV423" i="2"/>
  <c r="BW424" i="2"/>
  <c r="BW423" i="2" s="1"/>
  <c r="BV304" i="2"/>
  <c r="BW305" i="2"/>
  <c r="BW304" i="2" s="1"/>
  <c r="BV633" i="2"/>
  <c r="BS632" i="2"/>
  <c r="BV501" i="2"/>
  <c r="BW502" i="2"/>
  <c r="BW501" i="2" s="1"/>
  <c r="BV347" i="2"/>
  <c r="BW348" i="2"/>
  <c r="BW347" i="2" s="1"/>
  <c r="BV526" i="2"/>
  <c r="BW527" i="2"/>
  <c r="BW526" i="2" s="1"/>
  <c r="BV207" i="2"/>
  <c r="BV206" i="2" s="1"/>
  <c r="BW208" i="2"/>
  <c r="BW207" i="2" s="1"/>
  <c r="BW206" i="2" s="1"/>
  <c r="BV581" i="2"/>
  <c r="BW582" i="2"/>
  <c r="BW581" i="2" s="1"/>
  <c r="BW580" i="2" s="1"/>
  <c r="BV556" i="2"/>
  <c r="BW557" i="2"/>
  <c r="BW556" i="2" s="1"/>
  <c r="BV353" i="2"/>
  <c r="BW354" i="2"/>
  <c r="BW353" i="2" s="1"/>
  <c r="BV627" i="2"/>
  <c r="BW628" i="2"/>
  <c r="BW627" i="2" s="1"/>
  <c r="Q144" i="3"/>
  <c r="L803" i="2"/>
  <c r="BV317" i="2"/>
  <c r="BW318" i="2"/>
  <c r="BW317" i="2" s="1"/>
  <c r="BU816" i="2"/>
  <c r="BP807" i="2"/>
  <c r="BV345" i="2"/>
  <c r="BW346" i="2"/>
  <c r="BW345" i="2" s="1"/>
  <c r="BS359" i="2"/>
  <c r="BV697" i="2"/>
  <c r="BW698" i="2"/>
  <c r="BW697" i="2" s="1"/>
  <c r="BV107" i="2"/>
  <c r="BW108" i="2"/>
  <c r="BW107" i="2" s="1"/>
  <c r="BW816" i="2" s="1"/>
  <c r="I182" i="3" s="1"/>
  <c r="BV279" i="2"/>
  <c r="BW280" i="2"/>
  <c r="BW279" i="2" s="1"/>
  <c r="BV391" i="2"/>
  <c r="BW392" i="2"/>
  <c r="BW391" i="2" s="1"/>
  <c r="BV115" i="2"/>
  <c r="BW116" i="2"/>
  <c r="BW115" i="2" s="1"/>
  <c r="BV357" i="2"/>
  <c r="BW358" i="2"/>
  <c r="BW357" i="2" s="1"/>
  <c r="BV379" i="2"/>
  <c r="BV378" i="2" s="1"/>
  <c r="BW380" i="2"/>
  <c r="BW379" i="2" s="1"/>
  <c r="BW378" i="2" s="1"/>
  <c r="BU805" i="2"/>
  <c r="BV577" i="2"/>
  <c r="BW578" i="2"/>
  <c r="BW577" i="2" s="1"/>
  <c r="BS812" i="2"/>
  <c r="BV176" i="2"/>
  <c r="BW177" i="2"/>
  <c r="BW176" i="2" s="1"/>
  <c r="BV46" i="2"/>
  <c r="BW47" i="2"/>
  <c r="BW46" i="2" s="1"/>
  <c r="BV260" i="2"/>
  <c r="BW261" i="2"/>
  <c r="BW260" i="2" s="1"/>
  <c r="BV593" i="2"/>
  <c r="BW594" i="2"/>
  <c r="BW593" i="2" s="1"/>
  <c r="BV418" i="2"/>
  <c r="BW419" i="2"/>
  <c r="BW418" i="2" s="1"/>
  <c r="BV246" i="2"/>
  <c r="BW247" i="2"/>
  <c r="BW246" i="2" s="1"/>
  <c r="BQ631" i="2"/>
  <c r="BQ529" i="2" s="1"/>
  <c r="BQ3" i="2" s="1"/>
  <c r="BV421" i="2"/>
  <c r="BW422" i="2"/>
  <c r="BW421" i="2" s="1"/>
  <c r="BW420" i="2" s="1"/>
  <c r="BV262" i="2"/>
  <c r="BW263" i="2"/>
  <c r="BW262" i="2" s="1"/>
  <c r="BV315" i="2"/>
  <c r="BV806" i="2" s="1"/>
  <c r="BW316" i="2"/>
  <c r="BW315" i="2" s="1"/>
  <c r="BV386" i="2"/>
  <c r="BW387" i="2"/>
  <c r="BW386" i="2" s="1"/>
  <c r="BV479" i="2"/>
  <c r="BW480" i="2"/>
  <c r="BW479" i="2" s="1"/>
  <c r="BV609" i="2"/>
  <c r="BW610" i="2"/>
  <c r="BW609" i="2" s="1"/>
  <c r="BV740" i="2"/>
  <c r="BW741" i="2"/>
  <c r="BW740" i="2" s="1"/>
  <c r="BP809" i="2"/>
  <c r="BV471" i="2"/>
  <c r="BW472" i="2"/>
  <c r="BW471" i="2" s="1"/>
  <c r="BS808" i="2"/>
  <c r="BV264" i="2"/>
  <c r="BW265" i="2"/>
  <c r="BW264" i="2" s="1"/>
  <c r="Y112" i="2"/>
  <c r="P16" i="2"/>
  <c r="BV757" i="2"/>
  <c r="BW758" i="2"/>
  <c r="BW757" i="2" s="1"/>
  <c r="BV10" i="2"/>
  <c r="BW11" i="2"/>
  <c r="BW10" i="2" s="1"/>
  <c r="BV705" i="2"/>
  <c r="BW706" i="2"/>
  <c r="BW705" i="2" s="1"/>
  <c r="BS196" i="2"/>
  <c r="BS157" i="2" s="1"/>
  <c r="I63" i="3"/>
  <c r="I794" i="2"/>
  <c r="BV762" i="2"/>
  <c r="BW763" i="2"/>
  <c r="BW762" i="2" s="1"/>
  <c r="BV745" i="2"/>
  <c r="BW746" i="2"/>
  <c r="BW745" i="2" s="1"/>
  <c r="BW744" i="2" s="1"/>
  <c r="BV113" i="2"/>
  <c r="BW114" i="2"/>
  <c r="BW113" i="2" s="1"/>
  <c r="C36" i="3"/>
  <c r="I157" i="2"/>
  <c r="C37" i="3"/>
  <c r="I271" i="2"/>
  <c r="J271" i="2"/>
  <c r="BV350" i="2"/>
  <c r="BV349" i="2" s="1"/>
  <c r="BW351" i="2"/>
  <c r="BW350" i="2" s="1"/>
  <c r="BW349" i="2" s="1"/>
  <c r="BU272" i="2"/>
  <c r="BU271" i="2" s="1"/>
  <c r="BV91" i="2"/>
  <c r="BV812" i="2" s="1"/>
  <c r="BW92" i="2"/>
  <c r="BW91" i="2" s="1"/>
  <c r="BW812" i="2" s="1"/>
  <c r="I178" i="3" s="1"/>
  <c r="BV570" i="2"/>
  <c r="BW571" i="2"/>
  <c r="BW570" i="2" s="1"/>
  <c r="S787" i="2"/>
  <c r="S3" i="2"/>
  <c r="BV180" i="2"/>
  <c r="BW181" i="2"/>
  <c r="BW180" i="2" s="1"/>
  <c r="BV539" i="2"/>
  <c r="BW540" i="2"/>
  <c r="BW539" i="2" s="1"/>
  <c r="BV282" i="2"/>
  <c r="BW283" i="2"/>
  <c r="BW282" i="2" s="1"/>
  <c r="BV139" i="2"/>
  <c r="BW140" i="2"/>
  <c r="BW139" i="2" s="1"/>
  <c r="BV720" i="2"/>
  <c r="BW721" i="2"/>
  <c r="BW720" i="2" s="1"/>
  <c r="BV401" i="2"/>
  <c r="BV400" i="2" s="1"/>
  <c r="BW402" i="2"/>
  <c r="BW401" i="2" s="1"/>
  <c r="BW400" i="2" s="1"/>
  <c r="BV149" i="2"/>
  <c r="BW150" i="2"/>
  <c r="BW149" i="2" s="1"/>
  <c r="BS385" i="2"/>
  <c r="BV142" i="2"/>
  <c r="BW143" i="2"/>
  <c r="BW142" i="2" s="1"/>
  <c r="BW141" i="2" s="1"/>
  <c r="X631" i="2"/>
  <c r="J631" i="2"/>
  <c r="BV86" i="2"/>
  <c r="BW87" i="2"/>
  <c r="BW86" i="2" s="1"/>
  <c r="BV197" i="2"/>
  <c r="BV196" i="2" s="1"/>
  <c r="BW198" i="2"/>
  <c r="BW197" i="2" s="1"/>
  <c r="BW196" i="2" s="1"/>
  <c r="BS744" i="2"/>
  <c r="BS711" i="2" s="1"/>
  <c r="BS112" i="2"/>
  <c r="BV199" i="2"/>
  <c r="BW200" i="2"/>
  <c r="BW199" i="2" s="1"/>
  <c r="BW808" i="2" s="1"/>
  <c r="I174" i="3" s="1"/>
  <c r="BS565" i="2"/>
  <c r="BV458" i="2"/>
  <c r="BW459" i="2"/>
  <c r="BW458" i="2" s="1"/>
  <c r="BV563" i="2"/>
  <c r="BW564" i="2"/>
  <c r="BW563" i="2" s="1"/>
  <c r="BP17" i="2"/>
  <c r="BP16" i="2" s="1"/>
  <c r="BV154" i="2"/>
  <c r="BW155" i="2"/>
  <c r="BW154" i="2" s="1"/>
  <c r="Y272" i="2"/>
  <c r="P271" i="2"/>
  <c r="Y271" i="2" s="1"/>
  <c r="BV532" i="2"/>
  <c r="BW533" i="2"/>
  <c r="BW532" i="2" s="1"/>
  <c r="BW531" i="2" s="1"/>
  <c r="BV257" i="2"/>
  <c r="BW258" i="2"/>
  <c r="BW257" i="2" s="1"/>
  <c r="BV312" i="2"/>
  <c r="BV311" i="2" s="1"/>
  <c r="BW313" i="2"/>
  <c r="BW312" i="2" s="1"/>
  <c r="BW311" i="2" s="1"/>
  <c r="BS809" i="2"/>
  <c r="BU806" i="2"/>
  <c r="BV59" i="2"/>
  <c r="BW60" i="2"/>
  <c r="BW59" i="2" s="1"/>
  <c r="BV238" i="2"/>
  <c r="BV237" i="2" s="1"/>
  <c r="BW239" i="2"/>
  <c r="BW238" i="2" s="1"/>
  <c r="BW237" i="2" s="1"/>
  <c r="BV759" i="2"/>
  <c r="BW760" i="2"/>
  <c r="BW759" i="2" s="1"/>
  <c r="BQ803" i="2" l="1"/>
  <c r="BU3" i="2"/>
  <c r="I118" i="3" s="1"/>
  <c r="BP3" i="2"/>
  <c r="BP803" i="2" s="1"/>
  <c r="Q149" i="3"/>
  <c r="T144" i="3"/>
  <c r="BV531" i="2"/>
  <c r="BU804" i="2"/>
  <c r="BV816" i="2"/>
  <c r="BV566" i="2"/>
  <c r="BW810" i="2"/>
  <c r="I176" i="3" s="1"/>
  <c r="BV810" i="2"/>
  <c r="BW259" i="2"/>
  <c r="L144" i="3"/>
  <c r="S803" i="2"/>
  <c r="Y16" i="2"/>
  <c r="P3" i="2"/>
  <c r="P786" i="2"/>
  <c r="BV259" i="2"/>
  <c r="BW624" i="2"/>
  <c r="I36" i="3"/>
  <c r="X271" i="2"/>
  <c r="O786" i="2"/>
  <c r="O3" i="2"/>
  <c r="BV605" i="2"/>
  <c r="BV559" i="2"/>
  <c r="L117" i="3"/>
  <c r="M96" i="3"/>
  <c r="BV406" i="2"/>
  <c r="BV5" i="2"/>
  <c r="BV4" i="2" s="1"/>
  <c r="BR803" i="2"/>
  <c r="BV18" i="2"/>
  <c r="BV17" i="2" s="1"/>
  <c r="BW19" i="2"/>
  <c r="BW18" i="2" s="1"/>
  <c r="BW17" i="2" s="1"/>
  <c r="BW16" i="2" s="1"/>
  <c r="BW112" i="2"/>
  <c r="BV103" i="2"/>
  <c r="BW104" i="2"/>
  <c r="BW103" i="2" s="1"/>
  <c r="BW814" i="2" s="1"/>
  <c r="I180" i="3" s="1"/>
  <c r="U788" i="2"/>
  <c r="U790" i="2" s="1"/>
  <c r="BW811" i="2"/>
  <c r="I177" i="3" s="1"/>
  <c r="BS384" i="2"/>
  <c r="BV814" i="2"/>
  <c r="BV385" i="2"/>
  <c r="BV420" i="2"/>
  <c r="BW175" i="2"/>
  <c r="BV580" i="2"/>
  <c r="BW711" i="2"/>
  <c r="BS272" i="2"/>
  <c r="BS271" i="2" s="1"/>
  <c r="BW359" i="2"/>
  <c r="BV543" i="2"/>
  <c r="Q797" i="2"/>
  <c r="C784" i="2"/>
  <c r="BV490" i="2"/>
  <c r="BV489" i="2" s="1"/>
  <c r="BS530" i="2"/>
  <c r="BS529" i="2" s="1"/>
  <c r="BV329" i="2"/>
  <c r="BV328" i="2" s="1"/>
  <c r="BN803" i="2"/>
  <c r="G791" i="2"/>
  <c r="BW515" i="2"/>
  <c r="BW328" i="2"/>
  <c r="BV632" i="2"/>
  <c r="BV805" i="2" s="1"/>
  <c r="BV804" i="2" s="1"/>
  <c r="BW633" i="2"/>
  <c r="BW632" i="2" s="1"/>
  <c r="Z271" i="2"/>
  <c r="Q3" i="2"/>
  <c r="Q786" i="2"/>
  <c r="BS17" i="2"/>
  <c r="BS16" i="2" s="1"/>
  <c r="BS3" i="2" s="1"/>
  <c r="BS803" i="2" s="1"/>
  <c r="BW806" i="2"/>
  <c r="I172" i="3" s="1"/>
  <c r="BV175" i="2"/>
  <c r="BW250" i="2"/>
  <c r="BW815" i="2"/>
  <c r="I181" i="3" s="1"/>
  <c r="BV274" i="2"/>
  <c r="BV273" i="2" s="1"/>
  <c r="BW275" i="2"/>
  <c r="BW274" i="2" s="1"/>
  <c r="BW273" i="2" s="1"/>
  <c r="BW272" i="2" s="1"/>
  <c r="BV359" i="2"/>
  <c r="C38" i="3"/>
  <c r="I529" i="2"/>
  <c r="J529" i="2"/>
  <c r="BV158" i="2"/>
  <c r="BW490" i="2"/>
  <c r="BW489" i="2" s="1"/>
  <c r="G3" i="2"/>
  <c r="G783" i="2"/>
  <c r="BS631" i="2"/>
  <c r="BV141" i="2"/>
  <c r="BV112" i="2" s="1"/>
  <c r="BW385" i="2"/>
  <c r="BV809" i="2"/>
  <c r="BV515" i="2"/>
  <c r="BW543" i="2"/>
  <c r="BW530" i="2" s="1"/>
  <c r="BV811" i="2"/>
  <c r="BV744" i="2"/>
  <c r="BV711" i="2" s="1"/>
  <c r="BV250" i="2"/>
  <c r="BV815" i="2"/>
  <c r="BW605" i="2"/>
  <c r="BW565" i="2" s="1"/>
  <c r="BW559" i="2"/>
  <c r="P797" i="2"/>
  <c r="O798" i="2"/>
  <c r="P794" i="2"/>
  <c r="P793" i="2"/>
  <c r="P792" i="2"/>
  <c r="P795" i="2"/>
  <c r="P791" i="2"/>
  <c r="P796" i="2"/>
  <c r="P790" i="2"/>
  <c r="BW406" i="2"/>
  <c r="BW5" i="2"/>
  <c r="BW4" i="2" s="1"/>
  <c r="BV486" i="2"/>
  <c r="BV485" i="2" s="1"/>
  <c r="BW487" i="2"/>
  <c r="BW486" i="2" s="1"/>
  <c r="BW485" i="2" s="1"/>
  <c r="BW157" i="2" l="1"/>
  <c r="BU803" i="2"/>
  <c r="I64" i="3"/>
  <c r="G793" i="2"/>
  <c r="I793" i="2" s="1"/>
  <c r="G792" i="2"/>
  <c r="BV272" i="2"/>
  <c r="BV271" i="2" s="1"/>
  <c r="BV384" i="2"/>
  <c r="BW805" i="2"/>
  <c r="C5" i="3"/>
  <c r="F4" i="3"/>
  <c r="G803" i="2"/>
  <c r="F796" i="2"/>
  <c r="I3" i="2"/>
  <c r="BW631" i="2"/>
  <c r="BW529" i="2" s="1"/>
  <c r="O803" i="2"/>
  <c r="X803" i="2" s="1"/>
  <c r="B799" i="2"/>
  <c r="C799" i="2" s="1"/>
  <c r="X3" i="2"/>
  <c r="J3" i="2"/>
  <c r="BW384" i="2"/>
  <c r="BW271" i="2" s="1"/>
  <c r="BW3" i="2" s="1"/>
  <c r="BV16" i="2"/>
  <c r="G786" i="2"/>
  <c r="G790" i="2"/>
  <c r="I790" i="2" s="1"/>
  <c r="H786" i="2"/>
  <c r="J786" i="2" s="1"/>
  <c r="H790" i="2"/>
  <c r="J790" i="2" s="1"/>
  <c r="BV565" i="2"/>
  <c r="BV631" i="2"/>
  <c r="Q803" i="2"/>
  <c r="Z803" i="2" s="1"/>
  <c r="Z3" i="2"/>
  <c r="J791" i="2"/>
  <c r="L123" i="3"/>
  <c r="N117" i="3"/>
  <c r="N123" i="3" s="1"/>
  <c r="BV530" i="2"/>
  <c r="BV157" i="2"/>
  <c r="P803" i="2"/>
  <c r="Y803" i="2" s="1"/>
  <c r="Y3" i="2"/>
  <c r="BW807" i="2"/>
  <c r="I173" i="3" s="1"/>
  <c r="C64" i="3"/>
  <c r="L44" i="3"/>
  <c r="L41" i="3"/>
  <c r="L38" i="3"/>
  <c r="L35" i="3"/>
  <c r="L43" i="3"/>
  <c r="L40" i="3"/>
  <c r="L37" i="3"/>
  <c r="L34" i="3"/>
  <c r="L42" i="3"/>
  <c r="L36" i="3"/>
  <c r="L39" i="3"/>
  <c r="L45" i="3"/>
  <c r="G788" i="2"/>
  <c r="I788" i="2" s="1"/>
  <c r="I784" i="2"/>
  <c r="I791" i="2"/>
  <c r="BW809" i="2"/>
  <c r="I175" i="3" s="1"/>
  <c r="BV807" i="2"/>
  <c r="L149" i="3"/>
  <c r="N149" i="3" s="1"/>
  <c r="N144" i="3"/>
  <c r="BW804" i="2" l="1"/>
  <c r="BW803" i="2" s="1"/>
  <c r="I171" i="3"/>
  <c r="I183" i="3" s="1"/>
  <c r="H796" i="2"/>
  <c r="H800" i="2" s="1"/>
  <c r="F800" i="2"/>
  <c r="F65" i="3"/>
  <c r="I786" i="2"/>
  <c r="BV529" i="2"/>
  <c r="BV3" i="2" s="1"/>
  <c r="I65" i="3"/>
  <c r="I792" i="2"/>
  <c r="I119" i="3" l="1"/>
  <c r="I120" i="3" s="1"/>
  <c r="BV803" i="2"/>
</calcChain>
</file>

<file path=xl/comments1.xml><?xml version="1.0" encoding="utf-8"?>
<comments xmlns="http://schemas.openxmlformats.org/spreadsheetml/2006/main">
  <authors>
    <author/>
  </authors>
  <commentList>
    <comment ref="D3" authorId="0" shape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D182" authorId="0" shapeId="0">
      <text>
        <r>
          <rPr>
            <sz val="11"/>
            <color rgb="FF000000"/>
            <rFont val="Calibri"/>
            <scheme val="minor"/>
          </rPr>
          <t>======
ID#AAAAURi54IM
Gilson Parodes    (2021-03-26 01:21:33)
(Reitoria) 
(Reserva Institucional 1%)
(R$ X,XX)</t>
        </r>
      </text>
    </comment>
    <comment ref="D184" authorId="0" shapeId="0">
      <text>
        <r>
          <rPr>
            <sz val="11"/>
            <color rgb="FF000000"/>
            <rFont val="Calibri"/>
            <scheme val="minor"/>
          </rPr>
          <t>======
ID#AAAAURi54IE
Gilson Parodes    (2021-03-26 01:22:38)
(Reitoria) 
(Reserva Institucional 1%)
(R$ X,XX)</t>
        </r>
      </text>
    </comment>
    <comment ref="D186" authorId="0" shapeId="0">
      <text>
        <r>
          <rPr>
            <sz val="11"/>
            <color rgb="FF000000"/>
            <rFont val="Calibri"/>
            <scheme val="minor"/>
          </rPr>
          <t>======
ID#AAAAURi54H8
Gilson Parodes    (2021-03-26 01:34:03)
(Reserva Institucional 1%)
(R$ X,XX)</t>
        </r>
      </text>
    </comment>
    <comment ref="D311" authorId="0" shapeId="0">
      <text>
        <r>
          <rPr>
            <sz val="11"/>
            <color rgb="FF000000"/>
            <rFont val="Calibri"/>
            <scheme val="minor"/>
          </rPr>
          <t>======
ID#AAAAURi54H4
Gilson Parodes    (2021-03-26 01:35:50)
(Reserva Institucional 1%)
(R$ X,XX)</t>
        </r>
      </text>
    </comment>
    <comment ref="D328" authorId="0" shapeId="0">
      <text>
        <r>
          <rPr>
            <sz val="11"/>
            <color rgb="FF000000"/>
            <rFont val="Calibri"/>
            <scheme val="minor"/>
          </rPr>
          <t>======
ID#AAAAURi54IA
Gilson Parodes    (2021-03-26 01:40:31)
(Reserva Institucional 1,5%)
(R$ X,XX)</t>
        </r>
      </text>
    </comment>
    <comment ref="D531" authorId="0" shapeId="0">
      <text>
        <r>
          <rPr>
            <sz val="11"/>
            <color rgb="FF000000"/>
            <rFont val="Calibri"/>
            <scheme val="minor"/>
          </rPr>
          <t>======
ID#AAAAURi54H0
Gilson Parodes    (2021-03-26 01:45:44)
(Reserva Institucional 1,5%)
(R$ X,XX)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YRfWufKBDBqr4UIQJIRxxDckYjQ=="/>
    </ext>
  </extLst>
</comments>
</file>

<file path=xl/sharedStrings.xml><?xml version="1.0" encoding="utf-8"?>
<sst xmlns="http://schemas.openxmlformats.org/spreadsheetml/2006/main" count="2022" uniqueCount="1103">
  <si>
    <t>PLANILHA DE PLANEJAMENTO E CONTROLE DA EXECUÇÃO ORÇAMENTÁRIA</t>
  </si>
  <si>
    <t>VALOR PLANEJADO</t>
  </si>
  <si>
    <t>VALOR EMPENHADO</t>
  </si>
  <si>
    <t>VALOR LIQUIDADO</t>
  </si>
  <si>
    <t xml:space="preserve">VALOR PAGO </t>
  </si>
  <si>
    <t>SALDO (DISPONÍVEL NO EMPENHO)</t>
  </si>
  <si>
    <t>PERCENTUAL GASTO EM RELAÇÃO AO EMPENHADO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</si>
  <si>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</si>
  <si>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</si>
  <si>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</si>
  <si>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</si>
  <si>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</si>
  <si>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</si>
  <si>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</si>
  <si>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</si>
  <si>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</si>
  <si>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</si>
  <si>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</si>
  <si>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</si>
  <si>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PAGAMENTOS REALIZADOS NO EXERCÍCIO</t>
  </si>
  <si>
    <t>SALDO DE EMPENHOS LIQUIDADOS A PAGAR</t>
  </si>
  <si>
    <t>SALDO DE EMPENHOS A LIQUIDAR</t>
  </si>
  <si>
    <t>SALDO DE RAPs ANOS ANTERIORES</t>
  </si>
  <si>
    <t>INSCRIÇÃO RAPs PROCESSADOS</t>
  </si>
  <si>
    <t>INSCRIÇÃO RAPs NÃO PROCESSADOS</t>
  </si>
  <si>
    <t>TOTAL DE RAPS INSCRITOS E RE-INSCRITOS</t>
  </si>
  <si>
    <t>PLANO DE AÇÃO</t>
  </si>
  <si>
    <t>DESCRIÇÃO DA AÇÃO</t>
  </si>
  <si>
    <t>MATRIZ ORÇAMENTÁRIA PLANO DE AÇÃO</t>
  </si>
  <si>
    <t>AJUSTES BLOQUEIOS OU CORTES</t>
  </si>
  <si>
    <t>MATRIZ ORÇAMENTÁRIA AJUSTADA</t>
  </si>
  <si>
    <r>
      <rPr>
        <b/>
        <sz val="12"/>
        <color rgb="FF000000"/>
        <rFont val="Calibri"/>
      </rPr>
      <t xml:space="preserve">OUTROS RECURSOS </t>
    </r>
    <r>
      <rPr>
        <b/>
        <sz val="12"/>
        <color rgb="FF000000"/>
        <rFont val="Calibri"/>
      </rPr>
      <t>(PNAES, FNDE, Receita Própria, Extra Orçamentário)</t>
    </r>
  </si>
  <si>
    <t>% empenhado da MATRIZ (planejado)</t>
  </si>
  <si>
    <t>% liquidado da MATRIZ (planejado)</t>
  </si>
  <si>
    <t>MATRIZ</t>
  </si>
  <si>
    <t>RAP</t>
  </si>
  <si>
    <t>RAP CANCELADOS NO EXERCÍCIO</t>
  </si>
  <si>
    <r>
      <rPr>
        <b/>
        <sz val="12"/>
        <color rgb="FF000000"/>
        <rFont val="Calibri"/>
      </rPr>
      <t xml:space="preserve">OUTROS        </t>
    </r>
    <r>
      <rPr>
        <b/>
        <sz val="12"/>
        <color rgb="FF000000"/>
        <rFont val="Calibri"/>
      </rPr>
      <t>(PNAES, FNDE, Receita Própria, Extra Orçamentário)</t>
    </r>
  </si>
  <si>
    <r>
      <rPr>
        <b/>
        <sz val="12"/>
        <color theme="1"/>
        <rFont val="Calibri"/>
      </rPr>
      <t xml:space="preserve">OUTROS        </t>
    </r>
    <r>
      <rPr>
        <b/>
        <sz val="12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</si>
  <si>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2"/>
        <color rgb="FFFF0000"/>
        <rFont val="Calibri"/>
      </rPr>
      <t>(PNAES, FNDE, Extra Orçamentário, etc)</t>
    </r>
  </si>
  <si>
    <t>MATRIZ
(empenhado)</t>
  </si>
  <si>
    <t>OUTROS 
(empenhado)</t>
  </si>
  <si>
    <t>MATRIZ
(emp)</t>
  </si>
  <si>
    <t>OUTROS 
(emp.)</t>
  </si>
  <si>
    <r>
      <rPr>
        <b/>
        <sz val="12"/>
        <color theme="1"/>
        <rFont val="Calibri"/>
      </rPr>
      <t xml:space="preserve">OUTROS        </t>
    </r>
    <r>
      <rPr>
        <b/>
        <sz val="12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</si>
  <si>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2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</si>
  <si>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2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</si>
  <si>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2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</si>
  <si>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2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</si>
  <si>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2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</si>
  <si>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2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</si>
  <si>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2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</si>
  <si>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2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</si>
  <si>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2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</si>
  <si>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2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</si>
  <si>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2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</si>
  <si>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2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</si>
  <si>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2"/>
        <color rgb="FFFF0000"/>
        <rFont val="Calibri"/>
      </rPr>
      <t>(PNAES, FNDE, Extra Orçamentário, etc)</t>
    </r>
  </si>
  <si>
    <t>SALDO TOTAL EMPENHOS DO ANO</t>
  </si>
  <si>
    <r>
      <rPr>
        <b/>
        <sz val="12"/>
        <color theme="1"/>
        <rFont val="Calibri"/>
      </rPr>
      <t xml:space="preserve">OUTROS        </t>
    </r>
    <r>
      <rPr>
        <b/>
        <sz val="12"/>
        <color rgb="FFFF0000"/>
        <rFont val="Calibri"/>
      </rPr>
      <t>(PNAES, FNDE, Extra Orçamentário, etc)</t>
    </r>
  </si>
  <si>
    <t>NE ANO</t>
  </si>
  <si>
    <t>NE RAP</t>
  </si>
  <si>
    <t>RUBRICA</t>
  </si>
  <si>
    <t>TOTAL</t>
  </si>
  <si>
    <t>UGR 155256</t>
  </si>
  <si>
    <t>DG - DIREÇÃO GERAL</t>
  </si>
  <si>
    <t>GERAL</t>
  </si>
  <si>
    <t>Díarias e Passagens</t>
  </si>
  <si>
    <t>2023NE000028</t>
  </si>
  <si>
    <t>3.33.90.14-14</t>
  </si>
  <si>
    <t>Diárias a servidores</t>
  </si>
  <si>
    <t>3.33.90.33-01</t>
  </si>
  <si>
    <t>Passagens para o país</t>
  </si>
  <si>
    <t>3.33.90.36-02</t>
  </si>
  <si>
    <t>Diárias a Colaboradores Eventuais</t>
  </si>
  <si>
    <t>Outras Despesas Correntes</t>
  </si>
  <si>
    <t>2023NE000108</t>
  </si>
  <si>
    <t>3.33.90.93-02</t>
  </si>
  <si>
    <t>Reeembolso/ressarcimento despesas servidores</t>
  </si>
  <si>
    <t>EXTRAORÇAMENTÁRIO</t>
  </si>
  <si>
    <t>UGR 155257</t>
  </si>
  <si>
    <t>DAD - DIRETORIA DE ADMINISTRAÇÃO</t>
  </si>
  <si>
    <t>2023NE000029</t>
  </si>
  <si>
    <t>Material de Consumo</t>
  </si>
  <si>
    <t>3.33.90.30-01</t>
  </si>
  <si>
    <t>Material de Consumo - Combustíveis</t>
  </si>
  <si>
    <t>3.33.90.30-04</t>
  </si>
  <si>
    <t>Material de Consumo - Gás</t>
  </si>
  <si>
    <t>3.33.90.30-07</t>
  </si>
  <si>
    <t>Material de Consumo - Gêneros de Alimentação</t>
  </si>
  <si>
    <t>3.33.90.30-16</t>
  </si>
  <si>
    <t>Material de Consumo - Material de Expediente</t>
  </si>
  <si>
    <t>2023NE000163</t>
  </si>
  <si>
    <t>3.33.90.30-19</t>
  </si>
  <si>
    <r>
      <rPr>
        <sz val="12"/>
        <color theme="1"/>
        <rFont val="Calibri"/>
      </rPr>
      <t xml:space="preserve">Material de Consumo - Embalagens - </t>
    </r>
    <r>
      <rPr>
        <b/>
        <sz val="12"/>
        <color theme="1"/>
        <rFont val="Calibri"/>
      </rPr>
      <t>AGREGA DISTRIBUIDORA (1444)</t>
    </r>
  </si>
  <si>
    <t>3.33.90.30-21</t>
  </si>
  <si>
    <t>Material de Consumo - Copa e Cozinha</t>
  </si>
  <si>
    <t>2023NE000049</t>
  </si>
  <si>
    <t>3.33.90.30-22</t>
  </si>
  <si>
    <r>
      <rPr>
        <sz val="12"/>
        <color theme="1"/>
        <rFont val="Calibri"/>
      </rPr>
      <t xml:space="preserve">Material de Consumo - Limpeza - </t>
    </r>
    <r>
      <rPr>
        <b/>
        <sz val="12"/>
        <color theme="1"/>
        <rFont val="Calibri"/>
      </rPr>
      <t>SÃO LOURENÇO</t>
    </r>
    <r>
      <rPr>
        <sz val="12"/>
        <color theme="1"/>
        <rFont val="Calibri"/>
      </rPr>
      <t xml:space="preserve"> </t>
    </r>
  </si>
  <si>
    <t>2023NE000053</t>
  </si>
  <si>
    <r>
      <rPr>
        <sz val="12"/>
        <color theme="1"/>
        <rFont val="Calibri"/>
      </rPr>
      <t xml:space="preserve">Material de Consumo - Limpeza - </t>
    </r>
    <r>
      <rPr>
        <b/>
        <sz val="12"/>
        <color theme="1"/>
        <rFont val="Calibri"/>
      </rPr>
      <t>GD ATACADISTA</t>
    </r>
  </si>
  <si>
    <t>2023NE000054</t>
  </si>
  <si>
    <r>
      <rPr>
        <sz val="12"/>
        <color theme="1"/>
        <rFont val="Calibri"/>
      </rPr>
      <t xml:space="preserve">Material de Consumo - Limpeza - </t>
    </r>
    <r>
      <rPr>
        <b/>
        <sz val="12"/>
        <color theme="1"/>
        <rFont val="Calibri"/>
      </rPr>
      <t xml:space="preserve">DELOSK </t>
    </r>
  </si>
  <si>
    <t>2023NE000055</t>
  </si>
  <si>
    <r>
      <rPr>
        <sz val="12"/>
        <color theme="1"/>
        <rFont val="Calibri"/>
      </rPr>
      <t xml:space="preserve">Material de Consumo - Limpeza - </t>
    </r>
    <r>
      <rPr>
        <b/>
        <sz val="12"/>
        <color theme="1"/>
        <rFont val="Calibri"/>
      </rPr>
      <t>BL PAPER</t>
    </r>
  </si>
  <si>
    <t>2023NE000056</t>
  </si>
  <si>
    <r>
      <rPr>
        <sz val="12"/>
        <color theme="1"/>
        <rFont val="Calibri"/>
      </rPr>
      <t xml:space="preserve">Material de Consumo - Limpeza - </t>
    </r>
    <r>
      <rPr>
        <b/>
        <sz val="12"/>
        <color theme="1"/>
        <rFont val="Calibri"/>
      </rPr>
      <t>MARELLY</t>
    </r>
  </si>
  <si>
    <t>2023NE000057</t>
  </si>
  <si>
    <r>
      <rPr>
        <sz val="12"/>
        <color theme="1"/>
        <rFont val="Calibri"/>
      </rPr>
      <t xml:space="preserve">Material de Consumo - Limpeza - </t>
    </r>
    <r>
      <rPr>
        <b/>
        <sz val="12"/>
        <color theme="1"/>
        <rFont val="Calibri"/>
      </rPr>
      <t>CLNA7 COMERCIAL</t>
    </r>
  </si>
  <si>
    <t>3.33.90.30-23</t>
  </si>
  <si>
    <t>Material de Consumo - Uniformes, Tecidos ...</t>
  </si>
  <si>
    <t>2023NE03/81</t>
  </si>
  <si>
    <t>3.33.90.30-24</t>
  </si>
  <si>
    <r>
      <rPr>
        <sz val="12"/>
        <color theme="1"/>
        <rFont val="Calibri"/>
      </rPr>
      <t>Material de Consumo - Manut de Bens Imóveis/Inst-</t>
    </r>
    <r>
      <rPr>
        <b/>
        <sz val="12"/>
        <color theme="1"/>
        <rFont val="Calibri"/>
      </rPr>
      <t>AGROFORTE</t>
    </r>
  </si>
  <si>
    <t>2023NE000161</t>
  </si>
  <si>
    <r>
      <rPr>
        <sz val="12"/>
        <color theme="1"/>
        <rFont val="Calibri"/>
      </rPr>
      <t>Material de Consumo - Manut de Bens Imóveis/Inst-</t>
    </r>
    <r>
      <rPr>
        <b/>
        <sz val="12"/>
        <color theme="1"/>
        <rFont val="Calibri"/>
      </rPr>
      <t>AGROFORTE (1444)</t>
    </r>
  </si>
  <si>
    <t>2023NE000082</t>
  </si>
  <si>
    <r>
      <rPr>
        <sz val="12"/>
        <color theme="1"/>
        <rFont val="Calibri"/>
      </rPr>
      <t xml:space="preserve">Material de Consumo - Manut de Bens Imóveis/Inst - </t>
    </r>
    <r>
      <rPr>
        <b/>
        <sz val="12"/>
        <color rgb="FFFF0000"/>
        <rFont val="Calibri"/>
      </rPr>
      <t xml:space="preserve">Acessibilidade Auditório </t>
    </r>
    <r>
      <rPr>
        <sz val="12"/>
        <color theme="1"/>
        <rFont val="Calibri"/>
      </rPr>
      <t xml:space="preserve">- </t>
    </r>
    <r>
      <rPr>
        <b/>
        <sz val="12"/>
        <color theme="1"/>
        <rFont val="Calibri"/>
      </rPr>
      <t>AGROFORTE</t>
    </r>
  </si>
  <si>
    <t>2023NE000105</t>
  </si>
  <si>
    <t>Material de Consumo - Manut de Bens Imóveis/Inst-CENTERMAX TINTAS</t>
  </si>
  <si>
    <t>2023NE000106</t>
  </si>
  <si>
    <t xml:space="preserve">Material de Consumo - Manut de Bens Imóveis/Inst-IMPERMEABILIZA </t>
  </si>
  <si>
    <t>3.33.90.30-25</t>
  </si>
  <si>
    <t>Material de Consumo - Manut de Bens Móveis</t>
  </si>
  <si>
    <t>2023NE000007</t>
  </si>
  <si>
    <t>2022NE000236</t>
  </si>
  <si>
    <t>3.33.90.30-26</t>
  </si>
  <si>
    <r>
      <rPr>
        <sz val="12"/>
        <color theme="1"/>
        <rFont val="Calibri"/>
      </rPr>
      <t xml:space="preserve">Material de Consumo - Elétrico e Eletrônico - </t>
    </r>
    <r>
      <rPr>
        <b/>
        <sz val="12"/>
        <color theme="1"/>
        <rFont val="Calibri"/>
      </rPr>
      <t>ATACASUL</t>
    </r>
  </si>
  <si>
    <t>3.33.90.30-28</t>
  </si>
  <si>
    <t>Material de Consumo - Proteção e Segurança</t>
  </si>
  <si>
    <t>3.33.90.30-39</t>
  </si>
  <si>
    <t>Material de Consumo - Manut de Veículos</t>
  </si>
  <si>
    <t>3.33.90.30-42</t>
  </si>
  <si>
    <r>
      <rPr>
        <sz val="12"/>
        <color theme="1"/>
        <rFont val="Calibri"/>
      </rPr>
      <t xml:space="preserve">Material de Consumo - Ferramentas - </t>
    </r>
    <r>
      <rPr>
        <b/>
        <sz val="12"/>
        <color theme="1"/>
        <rFont val="Calibri"/>
      </rPr>
      <t>AGREGA DISTRIBUIDORA (1444)</t>
    </r>
  </si>
  <si>
    <t>2023NE000162</t>
  </si>
  <si>
    <r>
      <rPr>
        <sz val="12"/>
        <color theme="1"/>
        <rFont val="Calibri"/>
      </rPr>
      <t xml:space="preserve">Material de Consumo - Ferramentas - </t>
    </r>
    <r>
      <rPr>
        <b/>
        <sz val="12"/>
        <color theme="1"/>
        <rFont val="Calibri"/>
      </rPr>
      <t>AGROFORTE (1444)</t>
    </r>
  </si>
  <si>
    <t>Serviços Terceirizados com Cessão de Mão de Obra</t>
  </si>
  <si>
    <t>3.33.90.37-01</t>
  </si>
  <si>
    <t>Apoio Administrativo - Auxiliar Administrativo</t>
  </si>
  <si>
    <t>2023NE000017</t>
  </si>
  <si>
    <t>2022NE000231</t>
  </si>
  <si>
    <t>3.33.90.37-02</t>
  </si>
  <si>
    <r>
      <rPr>
        <sz val="12"/>
        <color rgb="FF000000"/>
        <rFont val="Calibri"/>
      </rPr>
      <t xml:space="preserve">Limpeza e Conservação - </t>
    </r>
    <r>
      <rPr>
        <b/>
        <sz val="12"/>
        <color rgb="FF000000"/>
        <rFont val="Calibri"/>
      </rPr>
      <t>SULCLEAN (Contrato 40/2022)</t>
    </r>
  </si>
  <si>
    <t>2023NE000157</t>
  </si>
  <si>
    <r>
      <rPr>
        <sz val="12"/>
        <color rgb="FF000000"/>
        <rFont val="Calibri"/>
      </rPr>
      <t xml:space="preserve">Limpeza e Conservação - </t>
    </r>
    <r>
      <rPr>
        <b/>
        <sz val="12"/>
        <color rgb="FF000000"/>
        <rFont val="Calibri"/>
      </rPr>
      <t>SULCLEAN (Fonte 1444)</t>
    </r>
  </si>
  <si>
    <t>2023NE13/23</t>
  </si>
  <si>
    <t>2022NE000061</t>
  </si>
  <si>
    <t>3.33.90.37-03</t>
  </si>
  <si>
    <r>
      <rPr>
        <sz val="12"/>
        <color theme="1"/>
        <rFont val="Calibri"/>
      </rPr>
      <t xml:space="preserve">Vigilância - </t>
    </r>
    <r>
      <rPr>
        <b/>
        <sz val="12"/>
        <color theme="1"/>
        <rFont val="Calibri"/>
      </rPr>
      <t>MD SERVIÇOS DE VIGILÂNCIA</t>
    </r>
  </si>
  <si>
    <t>2023NE000156</t>
  </si>
  <si>
    <r>
      <rPr>
        <sz val="12"/>
        <color theme="1"/>
        <rFont val="Calibri"/>
      </rPr>
      <t xml:space="preserve">Vigilância - </t>
    </r>
    <r>
      <rPr>
        <b/>
        <sz val="12"/>
        <color theme="1"/>
        <rFont val="Calibri"/>
      </rPr>
      <t>MD SERVIÇOS DE VIGILÂNCIA (Fonte 1444)</t>
    </r>
  </si>
  <si>
    <t>2020NE800005</t>
  </si>
  <si>
    <r>
      <rPr>
        <sz val="12"/>
        <color theme="1"/>
        <rFont val="Calibri, Arial"/>
      </rPr>
      <t xml:space="preserve">Vigilância - </t>
    </r>
    <r>
      <rPr>
        <b/>
        <sz val="12"/>
        <color theme="1"/>
        <rFont val="Calibri, Arial"/>
      </rPr>
      <t xml:space="preserve">MD SERVIÇOS DE VIGILÂNCIA </t>
    </r>
    <r>
      <rPr>
        <b/>
        <sz val="12"/>
        <color rgb="FFFF0000"/>
        <rFont val="Calibri, Arial"/>
      </rPr>
      <t>(Retido Conta Vinculada)</t>
    </r>
  </si>
  <si>
    <t>2020NE800214</t>
  </si>
  <si>
    <r>
      <rPr>
        <sz val="12"/>
        <color theme="1"/>
        <rFont val="Calibri, Arial"/>
      </rPr>
      <t xml:space="preserve">Vigilância - </t>
    </r>
    <r>
      <rPr>
        <b/>
        <sz val="12"/>
        <color theme="1"/>
        <rFont val="Calibri, Arial"/>
      </rPr>
      <t xml:space="preserve">MD SERVIÇOS DE VIGILÂNCIA </t>
    </r>
    <r>
      <rPr>
        <b/>
        <sz val="12"/>
        <color rgb="FFFF0000"/>
        <rFont val="Calibri, Arial"/>
      </rPr>
      <t>(Retido Conta Vinculada)</t>
    </r>
  </si>
  <si>
    <t>2020NE800426</t>
  </si>
  <si>
    <r>
      <rPr>
        <sz val="12"/>
        <color theme="1"/>
        <rFont val="Calibri, Arial"/>
      </rPr>
      <t xml:space="preserve">Vigilância - </t>
    </r>
    <r>
      <rPr>
        <b/>
        <sz val="12"/>
        <color theme="1"/>
        <rFont val="Calibri, Arial"/>
      </rPr>
      <t xml:space="preserve">MD SERVIÇOS DE VIGILÂNCIA </t>
    </r>
    <r>
      <rPr>
        <b/>
        <sz val="12"/>
        <color rgb="FFFF0000"/>
        <rFont val="Calibri, Arial"/>
      </rPr>
      <t>(Retido Conta Vinculada)</t>
    </r>
  </si>
  <si>
    <t>2021NE000012</t>
  </si>
  <si>
    <r>
      <rPr>
        <sz val="12"/>
        <color theme="1"/>
        <rFont val="Calibri, Arial"/>
      </rPr>
      <t xml:space="preserve">Vigilância - </t>
    </r>
    <r>
      <rPr>
        <b/>
        <sz val="12"/>
        <color theme="1"/>
        <rFont val="Calibri, Arial"/>
      </rPr>
      <t xml:space="preserve">MD SERVIÇOS DE VIGILÂNCIA </t>
    </r>
    <r>
      <rPr>
        <b/>
        <sz val="12"/>
        <color rgb="FFFF0000"/>
        <rFont val="Calibri, Arial"/>
      </rPr>
      <t>(Retido Conta Vinculada)</t>
    </r>
  </si>
  <si>
    <t>2021NE000047</t>
  </si>
  <si>
    <r>
      <rPr>
        <sz val="12"/>
        <color theme="1"/>
        <rFont val="Calibri, Arial"/>
      </rPr>
      <t xml:space="preserve">Vigilância - </t>
    </r>
    <r>
      <rPr>
        <b/>
        <sz val="12"/>
        <color theme="1"/>
        <rFont val="Calibri, Arial"/>
      </rPr>
      <t xml:space="preserve">MD SERVIÇOS DE VIGILÂNCIA </t>
    </r>
    <r>
      <rPr>
        <b/>
        <sz val="12"/>
        <color rgb="FFFF0000"/>
        <rFont val="Calibri, Arial"/>
      </rPr>
      <t>(Retido Conta Vinculada)</t>
    </r>
  </si>
  <si>
    <t>2020NE800217</t>
  </si>
  <si>
    <t>3.33.90.37-04</t>
  </si>
  <si>
    <r>
      <rPr>
        <sz val="12"/>
        <color theme="1"/>
        <rFont val="Calibri, Arial"/>
      </rPr>
      <t xml:space="preserve">Manutenção Predial - </t>
    </r>
    <r>
      <rPr>
        <b/>
        <sz val="12"/>
        <color theme="1"/>
        <rFont val="Calibri, Arial"/>
      </rPr>
      <t xml:space="preserve">PEDRO ALBERNAZ (PHOENIX) </t>
    </r>
    <r>
      <rPr>
        <b/>
        <sz val="12"/>
        <color rgb="FFFF0000"/>
        <rFont val="Calibri, Arial"/>
      </rPr>
      <t>(Ret Cta Vincul)</t>
    </r>
  </si>
  <si>
    <t>2023NE000020</t>
  </si>
  <si>
    <t>2022NE000101</t>
  </si>
  <si>
    <r>
      <rPr>
        <sz val="12"/>
        <color theme="1"/>
        <rFont val="Calibri"/>
      </rPr>
      <t xml:space="preserve">Manutenção Predial - </t>
    </r>
    <r>
      <rPr>
        <b/>
        <sz val="12"/>
        <color theme="1"/>
        <rFont val="Calibri"/>
      </rPr>
      <t>PEDRO ALBERNAZ (PHOENIX)</t>
    </r>
  </si>
  <si>
    <t>Serviços Terceirizados por Demanda</t>
  </si>
  <si>
    <t>3.33.90.33-03</t>
  </si>
  <si>
    <t>3.33.90.39-05</t>
  </si>
  <si>
    <r>
      <rPr>
        <sz val="12"/>
        <color theme="1"/>
        <rFont val="Calibri"/>
      </rPr>
      <t xml:space="preserve">Serviços Técnicos - LUMERZ &amp; CIA - </t>
    </r>
    <r>
      <rPr>
        <b/>
        <sz val="12"/>
        <color theme="1"/>
        <rFont val="Calibri"/>
      </rPr>
      <t>POÇO ARTESIANO</t>
    </r>
  </si>
  <si>
    <t>Serviços Técnicos - Sinalização Viária, Identificação de Prédios</t>
  </si>
  <si>
    <r>
      <rPr>
        <sz val="12"/>
        <color theme="1"/>
        <rFont val="Calibri"/>
      </rPr>
      <t xml:space="preserve">Serviços Técnicos - Projeto PPCI - </t>
    </r>
    <r>
      <rPr>
        <b/>
        <sz val="12"/>
        <color theme="1"/>
        <rFont val="Calibri"/>
      </rPr>
      <t>ENGEF ENGENHARIA</t>
    </r>
  </si>
  <si>
    <t>3.33.90.39-16</t>
  </si>
  <si>
    <r>
      <rPr>
        <sz val="12"/>
        <color theme="1"/>
        <rFont val="Calibri"/>
      </rPr>
      <t xml:space="preserve">Manutenção de Bens Imóveis - </t>
    </r>
    <r>
      <rPr>
        <b/>
        <sz val="12"/>
        <color theme="1"/>
        <rFont val="Calibri"/>
      </rPr>
      <t>MURANO</t>
    </r>
  </si>
  <si>
    <t>2021NE000091</t>
  </si>
  <si>
    <r>
      <rPr>
        <sz val="12"/>
        <color theme="1"/>
        <rFont val="Calibri"/>
      </rPr>
      <t>Manutenção de Rede de Alta Tensão-</t>
    </r>
    <r>
      <rPr>
        <b/>
        <sz val="12"/>
        <color theme="1"/>
        <rFont val="Calibri"/>
      </rPr>
      <t>PAULO FUCKS</t>
    </r>
  </si>
  <si>
    <r>
      <rPr>
        <sz val="12"/>
        <color theme="1"/>
        <rFont val="Calibri"/>
      </rPr>
      <t xml:space="preserve">Serviços de manutenção - </t>
    </r>
    <r>
      <rPr>
        <b/>
        <sz val="12"/>
        <color theme="1"/>
        <rFont val="Calibri"/>
      </rPr>
      <t>MURANO</t>
    </r>
  </si>
  <si>
    <t>2023NE000041</t>
  </si>
  <si>
    <t>2022NE000070</t>
  </si>
  <si>
    <t>3.33.90.39-17</t>
  </si>
  <si>
    <r>
      <rPr>
        <sz val="12"/>
        <color theme="1"/>
        <rFont val="Calibri"/>
      </rPr>
      <t>Manutenção dos Elevadores-</t>
    </r>
    <r>
      <rPr>
        <b/>
        <sz val="12"/>
        <color theme="1"/>
        <rFont val="Calibri"/>
      </rPr>
      <t xml:space="preserve"> GGH ELEVADORES</t>
    </r>
  </si>
  <si>
    <t>2023NE000050</t>
  </si>
  <si>
    <r>
      <rPr>
        <sz val="12"/>
        <color theme="1"/>
        <rFont val="Calibri"/>
      </rPr>
      <t>Manutenção dos Elevadores-</t>
    </r>
    <r>
      <rPr>
        <b/>
        <sz val="12"/>
        <color theme="1"/>
        <rFont val="Calibri"/>
      </rPr>
      <t xml:space="preserve"> GGH ELEVADORES</t>
    </r>
  </si>
  <si>
    <t>2023NE000103</t>
  </si>
  <si>
    <r>
      <rPr>
        <sz val="12"/>
        <color theme="1"/>
        <rFont val="Calibri"/>
      </rPr>
      <t>Manutenção dos Elevadores-</t>
    </r>
    <r>
      <rPr>
        <b/>
        <sz val="12"/>
        <color theme="1"/>
        <rFont val="Calibri"/>
      </rPr>
      <t xml:space="preserve"> GGH ELEVADORES (Peças)</t>
    </r>
  </si>
  <si>
    <r>
      <rPr>
        <sz val="12"/>
        <color theme="1"/>
        <rFont val="Calibri"/>
      </rPr>
      <t>Manutenção dos Elevadores-</t>
    </r>
    <r>
      <rPr>
        <b/>
        <sz val="12"/>
        <color theme="1"/>
        <rFont val="Calibri"/>
      </rPr>
      <t xml:space="preserve"> FAK (Janelas e Portas)</t>
    </r>
  </si>
  <si>
    <t>2023NE000002</t>
  </si>
  <si>
    <r>
      <rPr>
        <sz val="12"/>
        <color theme="1"/>
        <rFont val="Calibri"/>
      </rPr>
      <t xml:space="preserve">Manutenção de Ar Condicionado - </t>
    </r>
    <r>
      <rPr>
        <b/>
        <sz val="12"/>
        <color theme="1"/>
        <rFont val="Calibri"/>
      </rPr>
      <t>ELETROVOLT - Peças</t>
    </r>
  </si>
  <si>
    <t>2023NE000009</t>
  </si>
  <si>
    <r>
      <rPr>
        <sz val="12"/>
        <color theme="1"/>
        <rFont val="Calibri"/>
      </rPr>
      <t xml:space="preserve">Manutenção de Ar Condicionado - </t>
    </r>
    <r>
      <rPr>
        <b/>
        <sz val="12"/>
        <color theme="1"/>
        <rFont val="Calibri"/>
      </rPr>
      <t>ELETROVOLT - Serviços</t>
    </r>
  </si>
  <si>
    <t>2022NE000179</t>
  </si>
  <si>
    <r>
      <rPr>
        <sz val="12"/>
        <color theme="1"/>
        <rFont val="Calibri"/>
      </rPr>
      <t xml:space="preserve">Manutenção Equipamentos de Refrigeração - </t>
    </r>
    <r>
      <rPr>
        <b/>
        <sz val="12"/>
        <color theme="1"/>
        <rFont val="Calibri"/>
      </rPr>
      <t>CASQUEIRO</t>
    </r>
  </si>
  <si>
    <t>2022NE000257</t>
  </si>
  <si>
    <r>
      <rPr>
        <sz val="12"/>
        <color theme="1"/>
        <rFont val="Calibri"/>
      </rPr>
      <t xml:space="preserve">Manutenção Equipamentos de Refrigeração - </t>
    </r>
    <r>
      <rPr>
        <b/>
        <sz val="12"/>
        <color theme="1"/>
        <rFont val="Calibri"/>
      </rPr>
      <t>CASQUEIRO</t>
    </r>
  </si>
  <si>
    <t>2023NE000110</t>
  </si>
  <si>
    <r>
      <rPr>
        <sz val="12"/>
        <color theme="1"/>
        <rFont val="Calibri"/>
      </rPr>
      <t xml:space="preserve">Manutenção Equipamentos Extintores - </t>
    </r>
    <r>
      <rPr>
        <b/>
        <sz val="12"/>
        <color theme="1"/>
        <rFont val="Calibri"/>
      </rPr>
      <t>ELAINE RESTA</t>
    </r>
  </si>
  <si>
    <t>3.33.90.39-19</t>
  </si>
  <si>
    <t>Manutenção e Conservação de Veículos</t>
  </si>
  <si>
    <t>2023NE000005</t>
  </si>
  <si>
    <t>3.33.90.39-44</t>
  </si>
  <si>
    <r>
      <rPr>
        <sz val="12"/>
        <color theme="1"/>
        <rFont val="Calibri"/>
      </rPr>
      <t xml:space="preserve">Água e Esgoto - </t>
    </r>
    <r>
      <rPr>
        <b/>
        <sz val="12"/>
        <color theme="1"/>
        <rFont val="Calibri"/>
      </rPr>
      <t>CORSAN</t>
    </r>
  </si>
  <si>
    <t>2022NE000093</t>
  </si>
  <si>
    <t>3.33.90.39-47</t>
  </si>
  <si>
    <r>
      <rPr>
        <sz val="12"/>
        <color theme="1"/>
        <rFont val="Calibri"/>
      </rPr>
      <t xml:space="preserve">Serviços de Comunicação em Geral - </t>
    </r>
    <r>
      <rPr>
        <b/>
        <sz val="12"/>
        <color theme="1"/>
        <rFont val="Calibri"/>
      </rPr>
      <t>EBCT</t>
    </r>
  </si>
  <si>
    <t>3.33.90.39-62</t>
  </si>
  <si>
    <r>
      <rPr>
        <sz val="12"/>
        <color theme="1"/>
        <rFont val="Calibri"/>
      </rPr>
      <t xml:space="preserve">Serviços de Serragem - </t>
    </r>
    <r>
      <rPr>
        <b/>
        <sz val="12"/>
        <color theme="1"/>
        <rFont val="Calibri"/>
      </rPr>
      <t>SERRARIA MATENSE (JAGUARI)</t>
    </r>
  </si>
  <si>
    <t>3.33.90.39-63</t>
  </si>
  <si>
    <t>Serviços Gráficos e Editoriais</t>
  </si>
  <si>
    <t>2023NE000137</t>
  </si>
  <si>
    <t>3.33.90.39-69</t>
  </si>
  <si>
    <r>
      <rPr>
        <sz val="12"/>
        <color theme="1"/>
        <rFont val="Calibri"/>
      </rPr>
      <t xml:space="preserve">Seguros em Geral - </t>
    </r>
    <r>
      <rPr>
        <b/>
        <sz val="12"/>
        <color theme="1"/>
        <rFont val="Calibri"/>
      </rPr>
      <t>GENTE SEGURADORA S/A</t>
    </r>
  </si>
  <si>
    <t>2023NE000062</t>
  </si>
  <si>
    <t>2022NE000160</t>
  </si>
  <si>
    <t>3.33.90.39-78</t>
  </si>
  <si>
    <r>
      <rPr>
        <sz val="12"/>
        <color theme="1"/>
        <rFont val="Calibri"/>
      </rPr>
      <t xml:space="preserve">Limpeza e Conservação - </t>
    </r>
    <r>
      <rPr>
        <b/>
        <sz val="12"/>
        <color theme="1"/>
        <rFont val="Calibri"/>
      </rPr>
      <t>DEDETIZAÇÃO -DEDESET</t>
    </r>
  </si>
  <si>
    <r>
      <rPr>
        <sz val="12"/>
        <color theme="1"/>
        <rFont val="Calibri"/>
      </rPr>
      <t xml:space="preserve">Limpeza e Conservação - </t>
    </r>
    <r>
      <rPr>
        <b/>
        <sz val="12"/>
        <color theme="1"/>
        <rFont val="Calibri"/>
      </rPr>
      <t>AMBSERV</t>
    </r>
  </si>
  <si>
    <t>3.33.91.39-90</t>
  </si>
  <si>
    <t>Publicidade legal D.O.U -FUNIN</t>
  </si>
  <si>
    <t>2020NE800247</t>
  </si>
  <si>
    <t>3.33.90.39-92</t>
  </si>
  <si>
    <r>
      <rPr>
        <sz val="12"/>
        <color theme="1"/>
        <rFont val="Calibri"/>
      </rPr>
      <t>Publicidade legal Jornal -</t>
    </r>
    <r>
      <rPr>
        <b/>
        <sz val="12"/>
        <color theme="1"/>
        <rFont val="Calibri"/>
      </rPr>
      <t>GIBBOR PUBLICIDADE</t>
    </r>
  </si>
  <si>
    <t>Serviços de Energia Elétrica</t>
  </si>
  <si>
    <t>3.33.90.39-43</t>
  </si>
  <si>
    <r>
      <rPr>
        <sz val="12"/>
        <color theme="1"/>
        <rFont val="Calibri"/>
      </rPr>
      <t xml:space="preserve">Energia Elétrica - </t>
    </r>
    <r>
      <rPr>
        <b/>
        <sz val="12"/>
        <color theme="1"/>
        <rFont val="Calibri"/>
      </rPr>
      <t>RGE</t>
    </r>
  </si>
  <si>
    <t>2023NE000004</t>
  </si>
  <si>
    <t>2022NE000127</t>
  </si>
  <si>
    <r>
      <rPr>
        <sz val="12"/>
        <color theme="1"/>
        <rFont val="Calibri"/>
      </rPr>
      <t xml:space="preserve">Energia Elétrica - </t>
    </r>
    <r>
      <rPr>
        <b/>
        <sz val="12"/>
        <color theme="1"/>
        <rFont val="Calibri"/>
      </rPr>
      <t>RGE</t>
    </r>
  </si>
  <si>
    <t>2023NE000159</t>
  </si>
  <si>
    <r>
      <rPr>
        <sz val="12"/>
        <color theme="1"/>
        <rFont val="Calibri"/>
      </rPr>
      <t xml:space="preserve">Energia Elétrica - </t>
    </r>
    <r>
      <rPr>
        <b/>
        <sz val="12"/>
        <color theme="1"/>
        <rFont val="Calibri"/>
      </rPr>
      <t>RGE (Fonte 1444)</t>
    </r>
  </si>
  <si>
    <t>2023NE000014</t>
  </si>
  <si>
    <t>3.33.90.47-22</t>
  </si>
  <si>
    <r>
      <rPr>
        <sz val="12"/>
        <color theme="1"/>
        <rFont val="Calibri"/>
      </rPr>
      <t xml:space="preserve">Contribuição para Iluminação Pública - </t>
    </r>
    <r>
      <rPr>
        <b/>
        <sz val="12"/>
        <color theme="1"/>
        <rFont val="Calibri"/>
      </rPr>
      <t>RGE</t>
    </r>
  </si>
  <si>
    <t>Serviços de Tecnologia da Informação e Comunicação</t>
  </si>
  <si>
    <t>3.33.90.40-14</t>
  </si>
  <si>
    <r>
      <rPr>
        <sz val="12"/>
        <color theme="1"/>
        <rFont val="Calibri"/>
      </rPr>
      <t xml:space="preserve">Telefonia Fixa e Móvel - </t>
    </r>
    <r>
      <rPr>
        <b/>
        <sz val="12"/>
        <color theme="1"/>
        <rFont val="Calibri"/>
      </rPr>
      <t xml:space="preserve">OI S/A </t>
    </r>
  </si>
  <si>
    <t>2023NE000063</t>
  </si>
  <si>
    <t>2022NE000193</t>
  </si>
  <si>
    <r>
      <rPr>
        <sz val="12"/>
        <color theme="1"/>
        <rFont val="Calibri"/>
      </rPr>
      <t xml:space="preserve">Telefonia Fixa e Móvel - </t>
    </r>
    <r>
      <rPr>
        <b/>
        <sz val="12"/>
        <color theme="1"/>
        <rFont val="Calibri"/>
      </rPr>
      <t>BRASIL TECPAR SERVIÇOS TELECOMUNICAÇÕES</t>
    </r>
  </si>
  <si>
    <t>2023NE000064</t>
  </si>
  <si>
    <r>
      <rPr>
        <sz val="12"/>
        <color theme="1"/>
        <rFont val="Calibri"/>
      </rPr>
      <t xml:space="preserve">Telefonia Fixa e Móvel - </t>
    </r>
    <r>
      <rPr>
        <b/>
        <sz val="12"/>
        <color theme="1"/>
        <rFont val="Calibri"/>
      </rPr>
      <t>TELEFÔNICA BRASIL</t>
    </r>
  </si>
  <si>
    <t>2022NE000054</t>
  </si>
  <si>
    <t>3.33.90.40-16</t>
  </si>
  <si>
    <r>
      <rPr>
        <sz val="12"/>
        <color theme="1"/>
        <rFont val="Calibri"/>
      </rPr>
      <t xml:space="preserve">Outsourcing de Impressão - </t>
    </r>
    <r>
      <rPr>
        <b/>
        <sz val="12"/>
        <color theme="1"/>
        <rFont val="Calibri"/>
      </rPr>
      <t>FULLPRINT</t>
    </r>
  </si>
  <si>
    <t>3.33.90.39-83</t>
  </si>
  <si>
    <r>
      <rPr>
        <sz val="12"/>
        <color theme="1"/>
        <rFont val="Calibri"/>
      </rPr>
      <t xml:space="preserve">Outsourcing de Impressão - </t>
    </r>
    <r>
      <rPr>
        <b/>
        <sz val="12"/>
        <color theme="1"/>
        <rFont val="Calibri"/>
      </rPr>
      <t>FULLPRINT</t>
    </r>
  </si>
  <si>
    <t>Obrigações Tributárias e Previdenciárias</t>
  </si>
  <si>
    <t>2023NE000078</t>
  </si>
  <si>
    <t>2022NE000211</t>
  </si>
  <si>
    <t>3.33.91.47-12</t>
  </si>
  <si>
    <r>
      <rPr>
        <sz val="12"/>
        <color theme="1"/>
        <rFont val="Calibri"/>
      </rPr>
      <t>Tributos -</t>
    </r>
    <r>
      <rPr>
        <b/>
        <sz val="12"/>
        <color theme="1"/>
        <rFont val="Calibri"/>
      </rPr>
      <t>PIS/PASEP</t>
    </r>
  </si>
  <si>
    <t>3.33.91.47-18</t>
  </si>
  <si>
    <t>Obrigações Tributárias</t>
  </si>
  <si>
    <t>Obrigações Tributárias - INSS Colaboradores Externos (PS 2023)</t>
  </si>
  <si>
    <t>2023NE000138</t>
  </si>
  <si>
    <t>Obrigações Tributárias - Juros e Multas (NF FRAC)</t>
  </si>
  <si>
    <t>2023NE000042</t>
  </si>
  <si>
    <t>3.33.90.39-37</t>
  </si>
  <si>
    <t>Juros e Multas - PASEP (Atraso)</t>
  </si>
  <si>
    <t>2023NE000011</t>
  </si>
  <si>
    <t>Obras e Instalações - PTRES 193570 (Fonte 81000)</t>
  </si>
  <si>
    <t>3.44.90.51-91</t>
  </si>
  <si>
    <t>Obras em Andamento - Telhado agronomia- IVAN MARCOS</t>
  </si>
  <si>
    <t>Equipamentos e Material Permanente</t>
  </si>
  <si>
    <t>3.44.90.52-33</t>
  </si>
  <si>
    <t>Equipamentos - SPACE INFORMÁTICA</t>
  </si>
  <si>
    <t>3.44.90.52-42</t>
  </si>
  <si>
    <t>Equipamentos - IND COM COLCHOES ORTHOVIDA</t>
  </si>
  <si>
    <t xml:space="preserve">Equipamentos - ESCOLARE IND </t>
  </si>
  <si>
    <t>Equipamentos - ESCRIBUL COMERCIO DE MOVEIS</t>
  </si>
  <si>
    <t>Diárias a servidores (Projeto de Extensão - Recicladores)</t>
  </si>
  <si>
    <t>Material de Consumo - Embalagens (Proj de Ext - Recicladores)</t>
  </si>
  <si>
    <t>Limpeza e Conservação</t>
  </si>
  <si>
    <t>Vigilância</t>
  </si>
  <si>
    <t>Manutenção Predial</t>
  </si>
  <si>
    <t>Serviços Técnicos - Poço Artesiano</t>
  </si>
  <si>
    <t>Serviços de Manutenção - Rede de Alta Tensão</t>
  </si>
  <si>
    <r>
      <rPr>
        <sz val="12"/>
        <color theme="1"/>
        <rFont val="Calibri"/>
      </rPr>
      <t>Serviços de Manutenção - SINAPI</t>
    </r>
    <r>
      <rPr>
        <b/>
        <sz val="12"/>
        <color theme="1"/>
        <rFont val="Calibri"/>
      </rPr>
      <t xml:space="preserve"> (Ref.do Abatedouro - Emenda)</t>
    </r>
  </si>
  <si>
    <r>
      <rPr>
        <sz val="12"/>
        <color theme="1"/>
        <rFont val="Calibri"/>
      </rPr>
      <t xml:space="preserve">Energia Elétrica - </t>
    </r>
    <r>
      <rPr>
        <b/>
        <sz val="12"/>
        <color theme="1"/>
        <rFont val="Calibri"/>
      </rPr>
      <t>RGE</t>
    </r>
  </si>
  <si>
    <t>Obras e Instalações</t>
  </si>
  <si>
    <t>Obras em Andamento - Rede Coletora para Efluentes (EO)</t>
  </si>
  <si>
    <t>Obras em Andamento - Pavilhão p/compostagem (EO)</t>
  </si>
  <si>
    <t>Obras em Andamento - Convivência Terceirizados (EO)</t>
  </si>
  <si>
    <t>Obras em Andamento - Projeto Prédio de Laboratórios (EO)</t>
  </si>
  <si>
    <t>Obras em Andamento - Reforma Abatedouro (EO)</t>
  </si>
  <si>
    <t>Obras em Andamento - Acessibilidade Auditório (EO)</t>
  </si>
  <si>
    <t>Obras em Andamento - Ampliação do Hall do Auditório (EO)</t>
  </si>
  <si>
    <t>3.44.90.51-92</t>
  </si>
  <si>
    <t>Instalações - Placas Fotovoltaicas (EO)</t>
  </si>
  <si>
    <t>Instalações - Poços Artesianos (EO)</t>
  </si>
  <si>
    <t>Instalações - PPCI (EO)</t>
  </si>
  <si>
    <t>3.44.90.52-34</t>
  </si>
  <si>
    <t>Equipamentos - Associação de Recicladores (Projeto de Extensão)</t>
  </si>
  <si>
    <t>Receita Própria - Fonte 81150</t>
  </si>
  <si>
    <r>
      <rPr>
        <sz val="12"/>
        <color theme="1"/>
        <rFont val="Calibri"/>
      </rPr>
      <t xml:space="preserve">Diárias a servidores </t>
    </r>
    <r>
      <rPr>
        <b/>
        <sz val="12"/>
        <color theme="1"/>
        <rFont val="Calibri"/>
      </rPr>
      <t>(Fonte 81500)</t>
    </r>
  </si>
  <si>
    <t>2022NE000230</t>
  </si>
  <si>
    <r>
      <rPr>
        <sz val="12"/>
        <color theme="1"/>
        <rFont val="Calibri"/>
      </rPr>
      <t xml:space="preserve">Material de Consumo - </t>
    </r>
    <r>
      <rPr>
        <b/>
        <sz val="12"/>
        <color theme="1"/>
        <rFont val="Calibri"/>
      </rPr>
      <t>AGROFORTE (Fonte 81500)</t>
    </r>
  </si>
  <si>
    <t>2022NE000232</t>
  </si>
  <si>
    <r>
      <rPr>
        <sz val="12"/>
        <color theme="1"/>
        <rFont val="Calibri"/>
      </rPr>
      <t xml:space="preserve">Limpeza e Conservação - </t>
    </r>
    <r>
      <rPr>
        <b/>
        <sz val="12"/>
        <color theme="1"/>
        <rFont val="Calibri"/>
      </rPr>
      <t>SULCLEAN (Contrato 40/2022-Fonte 81500)</t>
    </r>
  </si>
  <si>
    <t>2022NE000222</t>
  </si>
  <si>
    <r>
      <rPr>
        <sz val="12"/>
        <color theme="1"/>
        <rFont val="Calibri"/>
      </rPr>
      <t xml:space="preserve">Vigilância - </t>
    </r>
    <r>
      <rPr>
        <b/>
        <sz val="12"/>
        <color theme="1"/>
        <rFont val="Calibri"/>
      </rPr>
      <t>MD SERVIÇOS DE VIGILÂNCIA (Fonte 81500)</t>
    </r>
  </si>
  <si>
    <t>2022NE000265</t>
  </si>
  <si>
    <r>
      <rPr>
        <sz val="12"/>
        <color theme="1"/>
        <rFont val="Calibri"/>
      </rPr>
      <t xml:space="preserve">Serviços Técnicos - Projeto PPCI - </t>
    </r>
    <r>
      <rPr>
        <b/>
        <sz val="12"/>
        <color theme="1"/>
        <rFont val="Calibri"/>
      </rPr>
      <t>ENGEF ENGENHARIA (Fonte 81500)</t>
    </r>
  </si>
  <si>
    <t>2022NE000266</t>
  </si>
  <si>
    <r>
      <rPr>
        <sz val="12"/>
        <color theme="1"/>
        <rFont val="Calibri"/>
      </rPr>
      <t xml:space="preserve">Energia Elétrica - </t>
    </r>
    <r>
      <rPr>
        <b/>
        <sz val="12"/>
        <color theme="1"/>
        <rFont val="Calibri"/>
      </rPr>
      <t>RGE (Fonte 81500)</t>
    </r>
  </si>
  <si>
    <t>2022NE000247</t>
  </si>
  <si>
    <r>
      <rPr>
        <sz val="12"/>
        <color theme="1"/>
        <rFont val="Calibri"/>
      </rPr>
      <t xml:space="preserve">Contribuição para Iluminação Pública - </t>
    </r>
    <r>
      <rPr>
        <b/>
        <sz val="12"/>
        <color theme="1"/>
        <rFont val="Calibri"/>
      </rPr>
      <t>RGE (Fonte 81500)</t>
    </r>
  </si>
  <si>
    <t>2023NE000136</t>
  </si>
  <si>
    <t>3.44.90.52-45</t>
  </si>
  <si>
    <t>Equipamentos  -Impressora Patrimônio - TECNOGOV COMERCIAL</t>
  </si>
  <si>
    <t>UGR 155258</t>
  </si>
  <si>
    <t>DPDI - DIRETORIA DE PLANEJ E DESENV INSTITUCIONAL</t>
  </si>
  <si>
    <t>2023NE000031</t>
  </si>
  <si>
    <t>3.33.90.39-23</t>
  </si>
  <si>
    <r>
      <rPr>
        <sz val="12"/>
        <color theme="1"/>
        <rFont val="Calibri"/>
      </rPr>
      <t xml:space="preserve">Serviços de Festividades e Homenagens - </t>
    </r>
    <r>
      <rPr>
        <b/>
        <sz val="12"/>
        <color theme="1"/>
        <rFont val="Calibri"/>
      </rPr>
      <t>DF TURISMO E EVENTOS</t>
    </r>
  </si>
  <si>
    <t>3.33.90.39-48</t>
  </si>
  <si>
    <t>Serviços de Seleção e Treinamento - Concurso Público</t>
  </si>
  <si>
    <t>3.44.90.52-30</t>
  </si>
  <si>
    <t>Equipamentos -NADJA MARINA PIRES</t>
  </si>
  <si>
    <t>Equipamentos -GP TRADE CONPANY ELETRÔNICA</t>
  </si>
  <si>
    <t>2021NE000191</t>
  </si>
  <si>
    <t>3.44.90.52-35</t>
  </si>
  <si>
    <t>Equipamentos -B2G COMERCIO DE PRODUTOS LTDA</t>
  </si>
  <si>
    <t>Equipamentos -SOLARIS TELEINFORMÁTICA LTDA</t>
  </si>
  <si>
    <t>3.44.90.52-41</t>
  </si>
  <si>
    <t>Equipamentos -DATEN</t>
  </si>
  <si>
    <t>Equipamentos -PERFIL</t>
  </si>
  <si>
    <t>Equipamentos - LIDER NOTE BOOKS</t>
  </si>
  <si>
    <t>3.44.90.52-47</t>
  </si>
  <si>
    <t>Equipamentos - LICITEC TECNOLOGIA</t>
  </si>
  <si>
    <t>CAPACITAÇÃO DE SERVIDORES</t>
  </si>
  <si>
    <t>Reembolso de Passagens (terrestres, aéreas, ...)</t>
  </si>
  <si>
    <t>Serviços Técnicos Profissionais</t>
  </si>
  <si>
    <t xml:space="preserve">PIIQP </t>
  </si>
  <si>
    <t>3.33.90.18-04</t>
  </si>
  <si>
    <t>Auxílios para Estudos e Pesquisas</t>
  </si>
  <si>
    <t xml:space="preserve">PIIQPPE </t>
  </si>
  <si>
    <t>PIDES</t>
  </si>
  <si>
    <t>Serviços Pessoa Física</t>
  </si>
  <si>
    <t>3.33.90.36-06</t>
  </si>
  <si>
    <t>Serviços Técnicos Profissionais - PF</t>
  </si>
  <si>
    <t>3.33.90.47-18</t>
  </si>
  <si>
    <t>Contribuição Patronal - Serviços de Terceiros PF</t>
  </si>
  <si>
    <t>PROCESSO SELETIVO</t>
  </si>
  <si>
    <t>Diárias a Servidores</t>
  </si>
  <si>
    <t>3.33.90.36-28</t>
  </si>
  <si>
    <t>2021NE000128</t>
  </si>
  <si>
    <t>Serviços Gráficos e Editoriais- GRÁFICA SOLAR</t>
  </si>
  <si>
    <t>TECNOLOGIA DA INFORMAÇÃO E COMUNICAÇÃO</t>
  </si>
  <si>
    <t>3.33.90.30-17</t>
  </si>
  <si>
    <t>Material de Consumo - Processamento de Dados - C MOURA/BNB</t>
  </si>
  <si>
    <t>Material de Consumo - Processamento de Dados- PELSTER</t>
  </si>
  <si>
    <t>Material de Consumo - Processamento de Dados- MARCIA ADRIANA</t>
  </si>
  <si>
    <t>Material de Consumo - Processamento de Dados- ALZOTEC</t>
  </si>
  <si>
    <t>Material de Consumo - Processamento de Dados- V.C. DA ROCHA</t>
  </si>
  <si>
    <t>Material de Consumo - Processamento de Dados- ELETROQUIP</t>
  </si>
  <si>
    <t>Material de Consumo - Processamento de Dados- J.C.MENDES</t>
  </si>
  <si>
    <t>Material de Consumo - Processamento de Dados- NORTON</t>
  </si>
  <si>
    <t>Material de Consumo - Processamento de Dados- V.C.DA ROCHA</t>
  </si>
  <si>
    <t>Material de Consumo - Processamento de Dados- BNB COMÉRCIO</t>
  </si>
  <si>
    <t>Material de Consumo - Processamento de Dados- ZENITE</t>
  </si>
  <si>
    <r>
      <rPr>
        <sz val="12"/>
        <color theme="1"/>
        <rFont val="Calibri"/>
      </rPr>
      <t xml:space="preserve">Material de Consumo - Manutenção Central Telefônica - </t>
    </r>
    <r>
      <rPr>
        <sz val="12"/>
        <color theme="1"/>
        <rFont val="Calibri"/>
      </rPr>
      <t>FG REGINATO</t>
    </r>
  </si>
  <si>
    <t>Material de Consumo - Processamento de Dados- C KOZAR DOS SANTOS</t>
  </si>
  <si>
    <t>3.33.90.30-29</t>
  </si>
  <si>
    <t>Material de Consumo - Processamento de Dados- NETLIFE COM</t>
  </si>
  <si>
    <t>Material de Consumo - Processamento de Dados- QUALITY</t>
  </si>
  <si>
    <t>2022NE000099</t>
  </si>
  <si>
    <t>3.33.90.40-07</t>
  </si>
  <si>
    <r>
      <rPr>
        <sz val="12"/>
        <color theme="1"/>
        <rFont val="Calibri"/>
      </rPr>
      <t xml:space="preserve">Manutenção Corretiva/Adaptativa e Sustentação - </t>
    </r>
    <r>
      <rPr>
        <b/>
        <sz val="12"/>
        <color theme="1"/>
        <rFont val="Calibri"/>
      </rPr>
      <t>ACECOM</t>
    </r>
  </si>
  <si>
    <t>2023NE000079</t>
  </si>
  <si>
    <t>3.33.90.40-06</t>
  </si>
  <si>
    <r>
      <rPr>
        <sz val="12"/>
        <color theme="1"/>
        <rFont val="Calibri"/>
      </rPr>
      <t xml:space="preserve">Software - </t>
    </r>
    <r>
      <rPr>
        <b/>
        <sz val="12"/>
        <color theme="1"/>
        <rFont val="Calibri"/>
      </rPr>
      <t>ADVANCET RESELLER</t>
    </r>
  </si>
  <si>
    <t>2023NE000047</t>
  </si>
  <si>
    <t>3.33.90.40-04</t>
  </si>
  <si>
    <r>
      <rPr>
        <sz val="12"/>
        <color theme="1"/>
        <rFont val="Calibri"/>
      </rPr>
      <t xml:space="preserve">Outsourcing de Impressão - </t>
    </r>
    <r>
      <rPr>
        <b/>
        <sz val="12"/>
        <color theme="1"/>
        <rFont val="Calibri"/>
      </rPr>
      <t>FULLPRINT</t>
    </r>
  </si>
  <si>
    <t>2023NE43/51</t>
  </si>
  <si>
    <t>2022NE000208</t>
  </si>
  <si>
    <t>3.33.90.40-12</t>
  </si>
  <si>
    <r>
      <rPr>
        <sz val="12"/>
        <color theme="1"/>
        <rFont val="Calibri"/>
      </rPr>
      <t xml:space="preserve">Manutenção Central Telefônica - </t>
    </r>
    <r>
      <rPr>
        <b/>
        <sz val="12"/>
        <color theme="1"/>
        <rFont val="Calibri"/>
      </rPr>
      <t>FG REGINATO</t>
    </r>
  </si>
  <si>
    <t>2022NE000098</t>
  </si>
  <si>
    <r>
      <rPr>
        <sz val="12"/>
        <color theme="1"/>
        <rFont val="Calibri"/>
      </rPr>
      <t xml:space="preserve">Manutenção de Equipamentos de Informática - </t>
    </r>
    <r>
      <rPr>
        <b/>
        <sz val="12"/>
        <color theme="1"/>
        <rFont val="Calibri"/>
      </rPr>
      <t>ACECOM</t>
    </r>
  </si>
  <si>
    <t>2022NE000186</t>
  </si>
  <si>
    <r>
      <rPr>
        <sz val="12"/>
        <color theme="1"/>
        <rFont val="Calibri"/>
      </rPr>
      <t xml:space="preserve">Manutenção de Equipamentos de Informática - </t>
    </r>
    <r>
      <rPr>
        <b/>
        <sz val="12"/>
        <color theme="1"/>
        <rFont val="Calibri"/>
      </rPr>
      <t>ACECOM</t>
    </r>
  </si>
  <si>
    <t>2023NE000044</t>
  </si>
  <si>
    <t>2022NE000043</t>
  </si>
  <si>
    <t>3.33.90.40-13</t>
  </si>
  <si>
    <r>
      <rPr>
        <sz val="12"/>
        <color theme="1"/>
        <rFont val="Calibri"/>
      </rPr>
      <t xml:space="preserve">Comunicação de Dados - </t>
    </r>
    <r>
      <rPr>
        <b/>
        <sz val="12"/>
        <color theme="1"/>
        <rFont val="Calibri"/>
      </rPr>
      <t>MENDEX</t>
    </r>
  </si>
  <si>
    <t>2023NE000160</t>
  </si>
  <si>
    <r>
      <rPr>
        <sz val="12"/>
        <color theme="1"/>
        <rFont val="Calibri"/>
      </rPr>
      <t xml:space="preserve">Comunicação de Dados - </t>
    </r>
    <r>
      <rPr>
        <b/>
        <sz val="12"/>
        <color theme="1"/>
        <rFont val="Calibri"/>
      </rPr>
      <t>MENDEX</t>
    </r>
  </si>
  <si>
    <r>
      <rPr>
        <sz val="12"/>
        <color theme="1"/>
        <rFont val="Calibri"/>
      </rPr>
      <t xml:space="preserve">Telefonia Fixa e Móvel - </t>
    </r>
    <r>
      <rPr>
        <b/>
        <sz val="12"/>
        <color theme="1"/>
        <rFont val="Calibri"/>
      </rPr>
      <t>BRASIL SERV TELECOM</t>
    </r>
  </si>
  <si>
    <t xml:space="preserve">FUNDO DE TI </t>
  </si>
  <si>
    <t>Material de Consumo - Processamento de Dados</t>
  </si>
  <si>
    <t>Material de Consumo - Elétrico e Eletrônico</t>
  </si>
  <si>
    <t>Material de Consumo - Áudio, Video e Foto</t>
  </si>
  <si>
    <t>FUNDO DE TI - Locação de Software</t>
  </si>
  <si>
    <t>FUNDO DE TI - Manut Corret/Adapt e Sustentação de Software</t>
  </si>
  <si>
    <t>FUNDO DE TI - Manut e Conserv de Equipamentos de TIC</t>
  </si>
  <si>
    <t>Equipamentos de TIC Permanente - Estações Alto Desemp. (E.O.)</t>
  </si>
  <si>
    <t>Equipamentos de TIC Permanente - Computadores (Extraorçam.)</t>
  </si>
  <si>
    <t>Equipamentos - EP de Bancada - TED 11397 - Fonte 81880</t>
  </si>
  <si>
    <t>2022NE000264</t>
  </si>
  <si>
    <r>
      <rPr>
        <sz val="12"/>
        <color theme="1"/>
        <rFont val="Calibri"/>
      </rPr>
      <t xml:space="preserve">Equipamentos - Projetores - CAMILA GAVASSONI </t>
    </r>
    <r>
      <rPr>
        <b/>
        <sz val="12"/>
        <color theme="1"/>
        <rFont val="Calibri"/>
      </rPr>
      <t>(Fonte 81880)</t>
    </r>
  </si>
  <si>
    <t>2022NE000263</t>
  </si>
  <si>
    <r>
      <rPr>
        <sz val="12"/>
        <color theme="1"/>
        <rFont val="Calibri"/>
      </rPr>
      <t xml:space="preserve">Equipamentos - Projetores - AMIGGO BRASIL </t>
    </r>
    <r>
      <rPr>
        <b/>
        <sz val="12"/>
        <color theme="1"/>
        <rFont val="Calibri"/>
      </rPr>
      <t>(Fonte 81880)</t>
    </r>
  </si>
  <si>
    <t>Equipamentos - EP de Bancada - TED 10633 - Fonte 81880</t>
  </si>
  <si>
    <r>
      <rPr>
        <sz val="12"/>
        <color theme="1"/>
        <rFont val="Calibri"/>
      </rPr>
      <t>Equipamentos -DELL (</t>
    </r>
    <r>
      <rPr>
        <b/>
        <sz val="12"/>
        <color theme="1"/>
        <rFont val="Calibri"/>
      </rPr>
      <t>Emenda Parlamentar</t>
    </r>
    <r>
      <rPr>
        <sz val="12"/>
        <color theme="1"/>
        <rFont val="Calibri"/>
      </rPr>
      <t>)</t>
    </r>
  </si>
  <si>
    <t>Receita Própria  - PTRES 193570</t>
  </si>
  <si>
    <t>3.33.90.39-59</t>
  </si>
  <si>
    <r>
      <rPr>
        <sz val="12"/>
        <color theme="1"/>
        <rFont val="Calibri"/>
      </rPr>
      <t xml:space="preserve">Serviço de Aúdio,Video e Foto - </t>
    </r>
    <r>
      <rPr>
        <b/>
        <sz val="12"/>
        <color theme="1"/>
        <rFont val="Calibri"/>
      </rPr>
      <t>DF TURISMO (FONTE 81500)</t>
    </r>
  </si>
  <si>
    <t>2023NE000024</t>
  </si>
  <si>
    <r>
      <rPr>
        <sz val="12"/>
        <color theme="1"/>
        <rFont val="Calibri"/>
      </rPr>
      <t xml:space="preserve">Equipamentos de TIC Permanente - </t>
    </r>
    <r>
      <rPr>
        <b/>
        <sz val="12"/>
        <color theme="1"/>
        <rFont val="Calibri"/>
      </rPr>
      <t>AMIGGO</t>
    </r>
  </si>
  <si>
    <t>2023NE027/150</t>
  </si>
  <si>
    <t>3.44.90.52-37</t>
  </si>
  <si>
    <r>
      <rPr>
        <sz val="12"/>
        <color rgb="FF000000"/>
        <rFont val="Roboto"/>
      </rPr>
      <t xml:space="preserve">Equipamentos de TIC Permanente - </t>
    </r>
    <r>
      <rPr>
        <b/>
        <sz val="12"/>
        <color rgb="FF000000"/>
        <rFont val="Roboto"/>
      </rPr>
      <t>CADONA E LUNARDI LTDA</t>
    </r>
  </si>
  <si>
    <t>Equipamentos de TIC Permanente - HKA TECNOLOGIA</t>
  </si>
  <si>
    <t>2023NE085/149</t>
  </si>
  <si>
    <t>2022NE000280</t>
  </si>
  <si>
    <r>
      <rPr>
        <sz val="12"/>
        <color theme="1"/>
        <rFont val="Calibri"/>
      </rPr>
      <t xml:space="preserve">Equipamentos - Projetores - TOP MIX </t>
    </r>
    <r>
      <rPr>
        <b/>
        <sz val="12"/>
        <color theme="1"/>
        <rFont val="Calibri"/>
      </rPr>
      <t>(Fonte 105000192)</t>
    </r>
  </si>
  <si>
    <t>2022NE000281</t>
  </si>
  <si>
    <r>
      <rPr>
        <sz val="12"/>
        <color theme="1"/>
        <rFont val="Calibri"/>
      </rPr>
      <t xml:space="preserve">Equipamentos - Projetores - AMIGGO BRASIL </t>
    </r>
    <r>
      <rPr>
        <b/>
        <sz val="12"/>
        <color theme="1"/>
        <rFont val="Calibri"/>
      </rPr>
      <t>(Fonte 81500)</t>
    </r>
  </si>
  <si>
    <t>UGR 155259</t>
  </si>
  <si>
    <t>DE - DIRETORIA DE ENSINO</t>
  </si>
  <si>
    <t>ENSINO</t>
  </si>
  <si>
    <t>2023NE000030</t>
  </si>
  <si>
    <t>Locação de Meios de Transporte</t>
  </si>
  <si>
    <t>2023NE000039</t>
  </si>
  <si>
    <t>Diárias a Colaboradores Eventuais - Geral</t>
  </si>
  <si>
    <t>Diárias a Colaboradores Eventuais - Semanas Acadêmicas</t>
  </si>
  <si>
    <t>2014NE000252</t>
  </si>
  <si>
    <t>3.33.90.18-01</t>
  </si>
  <si>
    <r>
      <rPr>
        <sz val="12"/>
        <color theme="1"/>
        <rFont val="Calibri, Arial"/>
      </rPr>
      <t>Bolsas de Estudo no País - Bolsas de Apoio - PRONATEC -</t>
    </r>
    <r>
      <rPr>
        <sz val="12"/>
        <color rgb="FFFF0000"/>
        <rFont val="Calibri, Arial"/>
      </rPr>
      <t xml:space="preserve"> </t>
    </r>
    <r>
      <rPr>
        <b/>
        <sz val="12"/>
        <color rgb="FFFF0000"/>
        <rFont val="Calibri, Arial"/>
      </rPr>
      <t>Mulheres Mil</t>
    </r>
  </si>
  <si>
    <t>2023NE000066</t>
  </si>
  <si>
    <t>Reeembolso/ressarcimento despesas servidores/DE</t>
  </si>
  <si>
    <t>3.33.90.30-11</t>
  </si>
  <si>
    <t>Material de Consumo - Químicos</t>
  </si>
  <si>
    <t>3.33.90.30-14</t>
  </si>
  <si>
    <t>Material de Consumo - Educativo e Esportivo</t>
  </si>
  <si>
    <t>Material de Consumo - Expediente</t>
  </si>
  <si>
    <t>Material de Consumo - Uniformes, Tecidos e Aviamentos</t>
  </si>
  <si>
    <t>3.33.90.30-35</t>
  </si>
  <si>
    <t>Material de Consumo - Laboratorial</t>
  </si>
  <si>
    <t>3.33.90.30-40</t>
  </si>
  <si>
    <t>Material de Consumo - Biológico</t>
  </si>
  <si>
    <t>Serviços Técnicos Profissionais - PF - Semanas Acadêmicas</t>
  </si>
  <si>
    <t>2019NE800005</t>
  </si>
  <si>
    <r>
      <rPr>
        <sz val="12"/>
        <color theme="1"/>
        <rFont val="Calibri, Arial"/>
      </rPr>
      <t xml:space="preserve">Apoio Administrativo - </t>
    </r>
    <r>
      <rPr>
        <b/>
        <sz val="12"/>
        <color theme="1"/>
        <rFont val="Calibri, Arial"/>
      </rPr>
      <t xml:space="preserve">Cuidador -FORTESUL </t>
    </r>
    <r>
      <rPr>
        <b/>
        <sz val="12"/>
        <color rgb="FFFF0000"/>
        <rFont val="Calibri, Arial"/>
      </rPr>
      <t>(Retido Conta Vinculada)</t>
    </r>
  </si>
  <si>
    <t>2021NE000016</t>
  </si>
  <si>
    <r>
      <rPr>
        <sz val="12"/>
        <color theme="1"/>
        <rFont val="Calibri, Arial"/>
      </rPr>
      <t xml:space="preserve">Apoio Administrativo - </t>
    </r>
    <r>
      <rPr>
        <b/>
        <sz val="12"/>
        <color theme="1"/>
        <rFont val="Calibri, Arial"/>
      </rPr>
      <t>Cuidador -PHENIX</t>
    </r>
  </si>
  <si>
    <t>2021NE000071</t>
  </si>
  <si>
    <t xml:space="preserve">Manutenção Equipamentos Laboratórios - MEGA SOLUÇÕES CIENTÍFICAS </t>
  </si>
  <si>
    <t>2021NE000072</t>
  </si>
  <si>
    <t>Manutenção Equipamentos Laboratórios</t>
  </si>
  <si>
    <t>Serviços de Seleção e Treinamento - Teatro</t>
  </si>
  <si>
    <t>3.33.90.39-70</t>
  </si>
  <si>
    <t>Confecção de Uniformes, Bandeiras e Flâmulas</t>
  </si>
  <si>
    <t>3.33.90.39-74</t>
  </si>
  <si>
    <r>
      <rPr>
        <sz val="12"/>
        <color theme="1"/>
        <rFont val="Calibri"/>
      </rPr>
      <t xml:space="preserve">Serviços de Transportes - </t>
    </r>
    <r>
      <rPr>
        <b/>
        <sz val="12"/>
        <color theme="1"/>
        <rFont val="Calibri"/>
      </rPr>
      <t>ARGENTA SERVIÇOS DE VIAGENS</t>
    </r>
  </si>
  <si>
    <t>2023NE000034</t>
  </si>
  <si>
    <r>
      <rPr>
        <sz val="12"/>
        <color theme="1"/>
        <rFont val="Calibri"/>
      </rPr>
      <t xml:space="preserve">Serviços - Coleta Resíduos Quimicos - </t>
    </r>
    <r>
      <rPr>
        <b/>
        <sz val="12"/>
        <color theme="1"/>
        <rFont val="Calibri"/>
      </rPr>
      <t>ABORGAMA DO BRASIL</t>
    </r>
  </si>
  <si>
    <t>2023NE000033</t>
  </si>
  <si>
    <r>
      <rPr>
        <sz val="12"/>
        <color theme="1"/>
        <rFont val="Calibri"/>
      </rPr>
      <t xml:space="preserve">Serviços - Coleta Resíduos Quimicos - </t>
    </r>
    <r>
      <rPr>
        <b/>
        <sz val="12"/>
        <color theme="1"/>
        <rFont val="Calibri"/>
      </rPr>
      <t>AMBSERV</t>
    </r>
  </si>
  <si>
    <t>Serviços de Locação de Software</t>
  </si>
  <si>
    <t>Contribuições Previdenciárias-Serviços PF-Semanas Acadêmicas</t>
  </si>
  <si>
    <t xml:space="preserve">PROJETOS DE ENSINO </t>
  </si>
  <si>
    <t>Diárias a servidores - Monitoria</t>
  </si>
  <si>
    <t>Diárias a servidores - Invernada</t>
  </si>
  <si>
    <t>Auxílios Financeiros a Estudantes</t>
  </si>
  <si>
    <t>2023NE000126</t>
  </si>
  <si>
    <t>Auxilios p/Desenv de Estudos e Pesquisas  - Monitoria</t>
  </si>
  <si>
    <t>Serviços de Seleção e Treinamento - Invernada</t>
  </si>
  <si>
    <t>BIBLIOTECA</t>
  </si>
  <si>
    <t>3.33.90.39-01</t>
  </si>
  <si>
    <t xml:space="preserve">Assinaturas de Periódicos e Anuidades - Biblioteca Virtual </t>
  </si>
  <si>
    <t>3.44.90.52-18</t>
  </si>
  <si>
    <t>Material Permanente - Livros</t>
  </si>
  <si>
    <t>COORDENAÇÕES EIXOS/CURSOS</t>
  </si>
  <si>
    <t xml:space="preserve">AÇÕES INCLUSIVAS </t>
  </si>
  <si>
    <t>NAPNE</t>
  </si>
  <si>
    <t>Contribuições Previdenciárias-Serviços PF</t>
  </si>
  <si>
    <t>NEABI</t>
  </si>
  <si>
    <t>2023NE000046</t>
  </si>
  <si>
    <t>NUGEDIS</t>
  </si>
  <si>
    <t>2023NE000084</t>
  </si>
  <si>
    <t>2023NE000040</t>
  </si>
  <si>
    <r>
      <rPr>
        <sz val="12"/>
        <color theme="1"/>
        <rFont val="Calibri"/>
      </rPr>
      <t xml:space="preserve">Serviços de Transportes - </t>
    </r>
    <r>
      <rPr>
        <b/>
        <sz val="12"/>
        <color theme="1"/>
        <rFont val="Calibri"/>
      </rPr>
      <t>ARGENTA</t>
    </r>
  </si>
  <si>
    <t>3.44.90.52-08</t>
  </si>
  <si>
    <t>Material Permanente - Equip Laboratórios (Extraorçamentário)</t>
  </si>
  <si>
    <t>Material Permanente - Livros (Extraorçamentário)</t>
  </si>
  <si>
    <t>Material Permanente - Mobiliário (Extraorçamentário)</t>
  </si>
  <si>
    <t>Bolsas de Estudo no País - Bolsas de Apoio</t>
  </si>
  <si>
    <r>
      <rPr>
        <sz val="12"/>
        <color theme="1"/>
        <rFont val="Calibri"/>
      </rPr>
      <t xml:space="preserve">Serviços de Transportes - </t>
    </r>
    <r>
      <rPr>
        <b/>
        <sz val="12"/>
        <color theme="1"/>
        <rFont val="Calibri"/>
      </rPr>
      <t>ARGENTA (Fonte 81500)</t>
    </r>
  </si>
  <si>
    <t>2022NE000169</t>
  </si>
  <si>
    <r>
      <rPr>
        <sz val="12"/>
        <color theme="1"/>
        <rFont val="Calibri"/>
      </rPr>
      <t xml:space="preserve">Material Permanente - Livros - </t>
    </r>
    <r>
      <rPr>
        <b/>
        <sz val="12"/>
        <color theme="1"/>
        <rFont val="Calibri"/>
      </rPr>
      <t>HELEN PAULA (Fonte 81500)</t>
    </r>
  </si>
  <si>
    <t>3.44.90.52-12</t>
  </si>
  <si>
    <r>
      <rPr>
        <sz val="12"/>
        <color theme="1"/>
        <rFont val="Calibri"/>
      </rPr>
      <t xml:space="preserve">Material Permanente - Ar Condicionados - VENTISOL </t>
    </r>
    <r>
      <rPr>
        <b/>
        <sz val="12"/>
        <color theme="1"/>
        <rFont val="Calibri"/>
      </rPr>
      <t>(Fonte 81500)</t>
    </r>
  </si>
  <si>
    <t>UGR 155264</t>
  </si>
  <si>
    <t>ASSISTÊNCIA ESTUDANTIL</t>
  </si>
  <si>
    <t xml:space="preserve">5% CUSTEIO DO CAMPUS </t>
  </si>
  <si>
    <t>Material de Consumo - Combustível</t>
  </si>
  <si>
    <t>3.33.90.30-09</t>
  </si>
  <si>
    <t>Material de Consumo - Medicamentos</t>
  </si>
  <si>
    <t>3.33.90.30-10</t>
  </si>
  <si>
    <t>Material de Consumo - Odontológico</t>
  </si>
  <si>
    <t>3.33.90.30-36</t>
  </si>
  <si>
    <t>Material de Consumo - Hospitalar</t>
  </si>
  <si>
    <t>Apoio Administrativo - Serviços Agropecuários</t>
  </si>
  <si>
    <r>
      <rPr>
        <sz val="12"/>
        <color theme="1"/>
        <rFont val="Calibri"/>
      </rPr>
      <t xml:space="preserve">Manutenção Predial - </t>
    </r>
    <r>
      <rPr>
        <b/>
        <sz val="12"/>
        <color theme="1"/>
        <rFont val="Calibri"/>
      </rPr>
      <t>PHENIX</t>
    </r>
  </si>
  <si>
    <t>Festividades e Homenagens - Formaturas</t>
  </si>
  <si>
    <t>Seguros em Geral</t>
  </si>
  <si>
    <r>
      <rPr>
        <sz val="12"/>
        <color theme="1"/>
        <rFont val="Calibri"/>
      </rPr>
      <t xml:space="preserve">Energia Elétrica - </t>
    </r>
    <r>
      <rPr>
        <b/>
        <sz val="12"/>
        <color theme="1"/>
        <rFont val="Calibri"/>
      </rPr>
      <t>RGE</t>
    </r>
  </si>
  <si>
    <t>2022NE000243</t>
  </si>
  <si>
    <r>
      <rPr>
        <sz val="12"/>
        <color theme="1"/>
        <rFont val="Calibri"/>
      </rPr>
      <t>Manutenção e Conservação de Bens Móveis-</t>
    </r>
    <r>
      <rPr>
        <b/>
        <sz val="12"/>
        <color theme="1"/>
        <rFont val="Calibri"/>
      </rPr>
      <t>CASQUEIRO</t>
    </r>
  </si>
  <si>
    <t>2022NE000244</t>
  </si>
  <si>
    <r>
      <rPr>
        <sz val="12"/>
        <color theme="1"/>
        <rFont val="Calibri"/>
      </rPr>
      <t>Manutenção e Conservação de Bens Móveis-</t>
    </r>
    <r>
      <rPr>
        <b/>
        <sz val="12"/>
        <color theme="1"/>
        <rFont val="Calibri"/>
      </rPr>
      <t>CASQUEIRO</t>
    </r>
  </si>
  <si>
    <r>
      <rPr>
        <sz val="12"/>
        <color theme="1"/>
        <rFont val="Calibri"/>
      </rPr>
      <t xml:space="preserve">Energia Elétrica - </t>
    </r>
    <r>
      <rPr>
        <b/>
        <sz val="12"/>
        <color theme="1"/>
        <rFont val="Calibri"/>
      </rPr>
      <t>RGE</t>
    </r>
  </si>
  <si>
    <t>PNAES - PTRES 170804</t>
  </si>
  <si>
    <t>2023NE000060</t>
  </si>
  <si>
    <t>2023NE000061</t>
  </si>
  <si>
    <t>Bolsas de Estudo no País - Auxílios Financeiros - Permanência</t>
  </si>
  <si>
    <t>2023NE000139</t>
  </si>
  <si>
    <t>Bolsas de Estudo no País - Auxílios Financeiros - Formação Estudantil</t>
  </si>
  <si>
    <t>2023NE000086</t>
  </si>
  <si>
    <t>Bolsas de Estudo no País - Auxílios Financeiros - EVENTOS</t>
  </si>
  <si>
    <t>2023NE000065</t>
  </si>
  <si>
    <t>Bolsas de Estudo no País - Auxílios Financeiros - ATLETAS</t>
  </si>
  <si>
    <t>2023NE000151</t>
  </si>
  <si>
    <t>Bolsas de Estudo no País - Auxílios Financeiros - (Aguarda Edital)</t>
  </si>
  <si>
    <r>
      <rPr>
        <sz val="12"/>
        <color theme="1"/>
        <rFont val="Calibri"/>
      </rPr>
      <t xml:space="preserve">Auxílios para Estudos e Pesquisas - Eventos - </t>
    </r>
    <r>
      <rPr>
        <b/>
        <sz val="12"/>
        <color theme="1"/>
        <rFont val="Calibri"/>
      </rPr>
      <t>PROJETO RONDOM</t>
    </r>
  </si>
  <si>
    <t>Auxílios para Estudos e Pesquisas - Eventual</t>
  </si>
  <si>
    <t>RIP - PTRES 170803</t>
  </si>
  <si>
    <t>2023NE000035</t>
  </si>
  <si>
    <r>
      <rPr>
        <sz val="12"/>
        <color theme="1"/>
        <rFont val="Calibri"/>
      </rPr>
      <t xml:space="preserve">Material de Consumo - Gás - </t>
    </r>
    <r>
      <rPr>
        <b/>
        <sz val="12"/>
        <color theme="1"/>
        <rFont val="Calibri"/>
      </rPr>
      <t>EICHELT EICHELT</t>
    </r>
  </si>
  <si>
    <t>2023NE000116</t>
  </si>
  <si>
    <t>Material de Consumo - Gás - NORORES COMÉRCIO</t>
  </si>
  <si>
    <t>3.33.90.30-06</t>
  </si>
  <si>
    <t>Material de Consumo - Alimentação Animal</t>
  </si>
  <si>
    <t>2022NE000245</t>
  </si>
  <si>
    <r>
      <rPr>
        <sz val="12"/>
        <color theme="1"/>
        <rFont val="Calibri"/>
      </rPr>
      <t xml:space="preserve">Material de Consumo - Gêneros de Alimentação- </t>
    </r>
    <r>
      <rPr>
        <b/>
        <sz val="12"/>
        <color theme="1"/>
        <rFont val="Calibri"/>
      </rPr>
      <t>JULIANO FRANCISCATO</t>
    </r>
  </si>
  <si>
    <t>2023NE000080</t>
  </si>
  <si>
    <r>
      <rPr>
        <sz val="12"/>
        <color theme="1"/>
        <rFont val="Calibri"/>
      </rPr>
      <t>Material de Consumo - Gêneros de Alimentação -</t>
    </r>
    <r>
      <rPr>
        <b/>
        <sz val="12"/>
        <color theme="1"/>
        <rFont val="Calibri"/>
      </rPr>
      <t xml:space="preserve"> VALDERI GIACOMELLI</t>
    </r>
  </si>
  <si>
    <t>Material de Consumo - Gêneros de Alimentação- LINASSI</t>
  </si>
  <si>
    <t>2021NE000173</t>
  </si>
  <si>
    <t>2022NE000149</t>
  </si>
  <si>
    <t>Material de Consumo - Gêneros de Alimentação-VALDERI</t>
  </si>
  <si>
    <t xml:space="preserve">Material de Consumo - Gêneros de Alimentação-ANGELICA LOPES SAUERESSIG  </t>
  </si>
  <si>
    <t>2022NE000151</t>
  </si>
  <si>
    <t>Material de Consumo - Gêneros de Alimentação-LEANDRO SOUZA COIMBRA</t>
  </si>
  <si>
    <t>2022NE000246</t>
  </si>
  <si>
    <t>2022NE000248</t>
  </si>
  <si>
    <t>2023NE000124</t>
  </si>
  <si>
    <r>
      <rPr>
        <sz val="12"/>
        <color theme="1"/>
        <rFont val="Calibri"/>
      </rPr>
      <t xml:space="preserve">Material de Consumo - Gêneros de Alimentação- </t>
    </r>
    <r>
      <rPr>
        <b/>
        <sz val="12"/>
        <color theme="1"/>
        <rFont val="Calibri"/>
      </rPr>
      <t>JULIANO FRANCISCATO</t>
    </r>
  </si>
  <si>
    <t>2023NE000115</t>
  </si>
  <si>
    <t>Material de Consumo - Farmacológico - Comércio de Med MORO</t>
  </si>
  <si>
    <t>2023NE000125</t>
  </si>
  <si>
    <t>2023NE000025</t>
  </si>
  <si>
    <r>
      <rPr>
        <sz val="12"/>
        <color theme="1"/>
        <rFont val="Calibri"/>
      </rPr>
      <t xml:space="preserve">Material de Consumo - Mat Maut Predial - </t>
    </r>
    <r>
      <rPr>
        <b/>
        <sz val="12"/>
        <color theme="1"/>
        <rFont val="Calibri"/>
      </rPr>
      <t>AGROFORTE</t>
    </r>
    <r>
      <rPr>
        <sz val="12"/>
        <color theme="1"/>
        <rFont val="Calibri"/>
      </rPr>
      <t xml:space="preserve"> </t>
    </r>
  </si>
  <si>
    <t>2023NE000068</t>
  </si>
  <si>
    <t>Material de Consumo - Material de Copa e Cozinha - AZ IND E COM</t>
  </si>
  <si>
    <t>2023NE000069</t>
  </si>
  <si>
    <t>Material de Consumo - Material de Copa e Cozinha -GIOVANE LOS</t>
  </si>
  <si>
    <t>2023NE000070</t>
  </si>
  <si>
    <t>Material de Consumo - Material de Copa e Cozinha - FABRICIO RACHADEL</t>
  </si>
  <si>
    <t>2023NE000071</t>
  </si>
  <si>
    <t>Material de Consumo - Material de Copa e Cozinha - B2G MEDICAL</t>
  </si>
  <si>
    <t>2023NE000072</t>
  </si>
  <si>
    <t>Material de Consumo - Material de Copa e Cozinha - COM MARELLY</t>
  </si>
  <si>
    <t>2023NE000073</t>
  </si>
  <si>
    <t>Material de Consumo - Material de Copa e Cozinha - SJ COM DE UTIL</t>
  </si>
  <si>
    <t>2023NE000074</t>
  </si>
  <si>
    <t>Material de Consumo - Material de Copa e Cozinha - COLUZZI DISTR</t>
  </si>
  <si>
    <t>2023NE000075</t>
  </si>
  <si>
    <t>Material de Consumo - Material de Copa e Cozinha - CASA DO PASA</t>
  </si>
  <si>
    <t>2023NE000076</t>
  </si>
  <si>
    <t>2023NE000117</t>
  </si>
  <si>
    <t>Material de Consumo - Material de Copa e Cozinha - DELOSK</t>
  </si>
  <si>
    <t>2023NE000112</t>
  </si>
  <si>
    <t>Material de Consumo - Material de Limpeza - FAVARIM</t>
  </si>
  <si>
    <t>2023NE000148</t>
  </si>
  <si>
    <t>Material de Consumo - Material de Limpeza - MEGALIMPO</t>
  </si>
  <si>
    <t>2023NE000113</t>
  </si>
  <si>
    <t>Material de Consumo - Material Hospitalar - FAVARIM</t>
  </si>
  <si>
    <t>2023NE000107</t>
  </si>
  <si>
    <t>Material de Consumo - Embalagens - PABLO LUIS MARTINS</t>
  </si>
  <si>
    <t>Material para Alimentação Escolar</t>
  </si>
  <si>
    <t>3.33.90.32-05</t>
  </si>
  <si>
    <t>Alimentação Escolar</t>
  </si>
  <si>
    <t>2023NE000021</t>
  </si>
  <si>
    <t>2022NE000080</t>
  </si>
  <si>
    <r>
      <rPr>
        <sz val="12"/>
        <color theme="1"/>
        <rFont val="Calibri"/>
      </rPr>
      <t xml:space="preserve">Apoio Administrativo - Portaria - </t>
    </r>
    <r>
      <rPr>
        <b/>
        <sz val="12"/>
        <color theme="1"/>
        <rFont val="Calibri"/>
      </rPr>
      <t>SULPORT</t>
    </r>
  </si>
  <si>
    <t>2023NE000022</t>
  </si>
  <si>
    <t>2022NE000060</t>
  </si>
  <si>
    <r>
      <rPr>
        <sz val="12"/>
        <color theme="1"/>
        <rFont val="Calibri"/>
      </rPr>
      <t xml:space="preserve">Apoio Administrativo - Lavanderia- </t>
    </r>
    <r>
      <rPr>
        <b/>
        <sz val="12"/>
        <color theme="1"/>
        <rFont val="Calibri"/>
      </rPr>
      <t>MERCOSERVICE</t>
    </r>
  </si>
  <si>
    <t>2021NE000146</t>
  </si>
  <si>
    <r>
      <rPr>
        <sz val="12"/>
        <color theme="1"/>
        <rFont val="Calibri, Arial"/>
      </rPr>
      <t xml:space="preserve">Apoio Administrativo - Caldeira - </t>
    </r>
    <r>
      <rPr>
        <b/>
        <sz val="12"/>
        <color theme="1"/>
        <rFont val="Calibri, Arial"/>
      </rPr>
      <t xml:space="preserve">SULPORT </t>
    </r>
    <r>
      <rPr>
        <b/>
        <sz val="12"/>
        <color rgb="FFFF0000"/>
        <rFont val="Calibri, Arial"/>
      </rPr>
      <t xml:space="preserve"> (Retido Conta Vinculada)</t>
    </r>
  </si>
  <si>
    <t>2023NE000015</t>
  </si>
  <si>
    <t>2022NE000074</t>
  </si>
  <si>
    <r>
      <rPr>
        <sz val="12"/>
        <color theme="1"/>
        <rFont val="Calibri"/>
      </rPr>
      <t xml:space="preserve">Apoio Administrativo - Caldeira - </t>
    </r>
    <r>
      <rPr>
        <b/>
        <sz val="12"/>
        <color theme="1"/>
        <rFont val="Calibri"/>
      </rPr>
      <t>SULPORT</t>
    </r>
  </si>
  <si>
    <r>
      <rPr>
        <sz val="12"/>
        <color rgb="FF000000"/>
        <rFont val="Calibri"/>
      </rPr>
      <t>Limpeza e Conservação -</t>
    </r>
    <r>
      <rPr>
        <b/>
        <sz val="12"/>
        <color rgb="FF000000"/>
        <rFont val="Calibri"/>
      </rPr>
      <t xml:space="preserve"> SULCLEAN</t>
    </r>
  </si>
  <si>
    <r>
      <rPr>
        <sz val="12"/>
        <color theme="1"/>
        <rFont val="Calibri"/>
      </rPr>
      <t xml:space="preserve">Manutenção Predial - </t>
    </r>
    <r>
      <rPr>
        <b/>
        <sz val="12"/>
        <color theme="1"/>
        <rFont val="Calibri"/>
      </rPr>
      <t>PHENIX</t>
    </r>
  </si>
  <si>
    <r>
      <rPr>
        <sz val="12"/>
        <color theme="1"/>
        <rFont val="Calibri"/>
      </rPr>
      <t xml:space="preserve">Apoio Administrativo - Serviços Agropecuários- </t>
    </r>
    <r>
      <rPr>
        <b/>
        <sz val="12"/>
        <color theme="1"/>
        <rFont val="Calibri"/>
      </rPr>
      <t>SERVITECK</t>
    </r>
  </si>
  <si>
    <r>
      <rPr>
        <sz val="12"/>
        <color theme="1"/>
        <rFont val="Calibri"/>
      </rPr>
      <t xml:space="preserve">Vigilância - </t>
    </r>
    <r>
      <rPr>
        <b/>
        <sz val="12"/>
        <color theme="1"/>
        <rFont val="Calibri"/>
      </rPr>
      <t>MD SERVIÇOS DE VIGILÂNCIA</t>
    </r>
  </si>
  <si>
    <t>3.33.90.37-05</t>
  </si>
  <si>
    <r>
      <rPr>
        <sz val="12"/>
        <color theme="1"/>
        <rFont val="Calibri"/>
      </rPr>
      <t xml:space="preserve">Serviços de Copa e Cozinha- </t>
    </r>
    <r>
      <rPr>
        <b/>
        <sz val="12"/>
        <color theme="1"/>
        <rFont val="Calibri"/>
      </rPr>
      <t>SULPORT</t>
    </r>
  </si>
  <si>
    <t>2023NE000018</t>
  </si>
  <si>
    <t>2022NE000167</t>
  </si>
  <si>
    <r>
      <rPr>
        <sz val="12"/>
        <color theme="1"/>
        <rFont val="Calibri"/>
      </rPr>
      <t xml:space="preserve">Serviços de Copa e Cozinha- </t>
    </r>
    <r>
      <rPr>
        <b/>
        <sz val="12"/>
        <color theme="1"/>
        <rFont val="Calibri"/>
      </rPr>
      <t>SAMMA</t>
    </r>
  </si>
  <si>
    <t>2022NE000241</t>
  </si>
  <si>
    <r>
      <rPr>
        <sz val="12"/>
        <color theme="1"/>
        <rFont val="Calibri"/>
      </rPr>
      <t>Manutenção e Conservação de Imóveis-</t>
    </r>
    <r>
      <rPr>
        <b/>
        <sz val="12"/>
        <color theme="1"/>
        <rFont val="Calibri"/>
      </rPr>
      <t>JD CONSTRUÇÕES</t>
    </r>
  </si>
  <si>
    <t>2022NE000242</t>
  </si>
  <si>
    <r>
      <rPr>
        <sz val="12"/>
        <color theme="1"/>
        <rFont val="Calibri"/>
      </rPr>
      <t>Manutenção e Conservação de Bens Móveis-</t>
    </r>
    <r>
      <rPr>
        <b/>
        <sz val="12"/>
        <color theme="1"/>
        <rFont val="Calibri"/>
      </rPr>
      <t>CASQUEIRO</t>
    </r>
  </si>
  <si>
    <t>2023NE000045</t>
  </si>
  <si>
    <r>
      <rPr>
        <sz val="12"/>
        <color theme="1"/>
        <rFont val="Calibri"/>
      </rPr>
      <t xml:space="preserve">Festividades e Homenagens - Formaturas - </t>
    </r>
    <r>
      <rPr>
        <b/>
        <sz val="12"/>
        <color theme="1"/>
        <rFont val="Calibri"/>
      </rPr>
      <t>DF TURISMO</t>
    </r>
  </si>
  <si>
    <t>3.33.90.39-79</t>
  </si>
  <si>
    <t>Apoio Técnico e Operacional - Manut de Rede de Vapor e Caldeira</t>
  </si>
  <si>
    <t>Apoio Técnico e Operacional - Inspeção Caldeira</t>
  </si>
  <si>
    <t>2023NE000019</t>
  </si>
  <si>
    <t>2022NE000126</t>
  </si>
  <si>
    <r>
      <rPr>
        <sz val="12"/>
        <color theme="1"/>
        <rFont val="Calibri"/>
      </rPr>
      <t xml:space="preserve">Energia Elétrica - </t>
    </r>
    <r>
      <rPr>
        <b/>
        <sz val="12"/>
        <color theme="1"/>
        <rFont val="Calibri"/>
      </rPr>
      <t>RGE</t>
    </r>
  </si>
  <si>
    <t>2023NE000048</t>
  </si>
  <si>
    <t>Reeembolso/ressarcimento despesas servidores/CAE</t>
  </si>
  <si>
    <t>Material Permanente - CCK</t>
  </si>
  <si>
    <t xml:space="preserve">Material Permanente - </t>
  </si>
  <si>
    <t>PNE - PTRES 204273</t>
  </si>
  <si>
    <t>2023NE000026</t>
  </si>
  <si>
    <t>2022NE000187</t>
  </si>
  <si>
    <r>
      <rPr>
        <sz val="12"/>
        <color theme="1"/>
        <rFont val="Calibri"/>
      </rPr>
      <t xml:space="preserve">Apoio Administrativo - Cuidador - </t>
    </r>
    <r>
      <rPr>
        <b/>
        <sz val="12"/>
        <color theme="1"/>
        <rFont val="Calibri"/>
      </rPr>
      <t>PHENIX</t>
    </r>
    <r>
      <rPr>
        <b/>
        <sz val="12"/>
        <color rgb="FF0000FF"/>
        <rFont val="Calibri"/>
      </rPr>
      <t xml:space="preserve"> (PTRES 204273)</t>
    </r>
  </si>
  <si>
    <t>2023NE000058</t>
  </si>
  <si>
    <r>
      <rPr>
        <sz val="12"/>
        <color theme="1"/>
        <rFont val="Calibri"/>
      </rPr>
      <t xml:space="preserve">Apoio Administrativo - Cuidador - </t>
    </r>
    <r>
      <rPr>
        <b/>
        <sz val="12"/>
        <color theme="1"/>
        <rFont val="Calibri"/>
      </rPr>
      <t>FRAC</t>
    </r>
    <r>
      <rPr>
        <b/>
        <sz val="12"/>
        <color rgb="FF0000FF"/>
        <rFont val="Calibri"/>
      </rPr>
      <t xml:space="preserve"> (PTRES 204273)</t>
    </r>
  </si>
  <si>
    <t>FNDE</t>
  </si>
  <si>
    <t>Fornecedoras em Geral</t>
  </si>
  <si>
    <t>Alimentação Escolar - JULIANO FRANCISCATTO</t>
  </si>
  <si>
    <t>2022NE000226</t>
  </si>
  <si>
    <t>2022NE000227</t>
  </si>
  <si>
    <t>2022NE000237</t>
  </si>
  <si>
    <t>2022NE000249</t>
  </si>
  <si>
    <t>2022NE000058</t>
  </si>
  <si>
    <r>
      <rPr>
        <sz val="12"/>
        <color theme="1"/>
        <rFont val="Calibri"/>
      </rPr>
      <t xml:space="preserve">Alimentação Escolar - </t>
    </r>
    <r>
      <rPr>
        <b/>
        <sz val="12"/>
        <color theme="1"/>
        <rFont val="Calibri"/>
      </rPr>
      <t>LINASSI</t>
    </r>
  </si>
  <si>
    <t>Alimentação Escolar - LINASSI/VALDERI</t>
  </si>
  <si>
    <t>Alimentação Escolar - LINASSI</t>
  </si>
  <si>
    <t>Agricultura Familiar</t>
  </si>
  <si>
    <t>Alimentação Escolar - Agricultura Familiar- CLIVIAN LICHTENECKER</t>
  </si>
  <si>
    <t>Alimentação Escolar - Agricultura Familiar- JULIANA LUTZ</t>
  </si>
  <si>
    <t>Alimentação Escolar - Agricultura Familiar- JOCENARA MARTINS</t>
  </si>
  <si>
    <t>Alimentação Escolar - Agricultura Familiar- HUMBERTO LUTZ</t>
  </si>
  <si>
    <t>Alimentação Escolar - Agricultura Familiar- JOÃO VALTAIR GUASSO</t>
  </si>
  <si>
    <t>Alimentação Escolar - Agricultura Familiar- ANCELMO CONCEIÇÃO</t>
  </si>
  <si>
    <t>Alimentação Escolar - Agricultura Familiar- CARLOS VIELMO</t>
  </si>
  <si>
    <t>Alimentação Escolar - Agricultura Familiar- GILNEI SEVERO</t>
  </si>
  <si>
    <t>Alimentação Escolar - Agricultura Familiar- DIOVANE GUASSO</t>
  </si>
  <si>
    <t>Alimentação Escolar - Agricultura Familiar- IVAN GUASSO</t>
  </si>
  <si>
    <t>Alimentação Escolar - Agricultura Familiar- EDILAINE MARTINS</t>
  </si>
  <si>
    <t xml:space="preserve">Alimentação Escolar - Agricultura Familiar- </t>
  </si>
  <si>
    <t>Bolsas de Estudo no País - Auxílios</t>
  </si>
  <si>
    <t>2022NE000108</t>
  </si>
  <si>
    <r>
      <rPr>
        <sz val="12"/>
        <color theme="1"/>
        <rFont val="Calibri"/>
      </rPr>
      <t xml:space="preserve">Apoio Administrativo - </t>
    </r>
    <r>
      <rPr>
        <b/>
        <sz val="12"/>
        <color theme="1"/>
        <rFont val="Calibri"/>
      </rPr>
      <t xml:space="preserve">Cuidador - PHENIX </t>
    </r>
    <r>
      <rPr>
        <b/>
        <sz val="12"/>
        <color rgb="FFFF0000"/>
        <rFont val="Calibri"/>
      </rPr>
      <t>(PTRES 170803)</t>
    </r>
  </si>
  <si>
    <r>
      <rPr>
        <sz val="12"/>
        <color theme="1"/>
        <rFont val="Calibri"/>
      </rPr>
      <t xml:space="preserve">Serviços de Copa e Cozinha- </t>
    </r>
    <r>
      <rPr>
        <b/>
        <sz val="12"/>
        <color theme="1"/>
        <rFont val="Calibri"/>
      </rPr>
      <t>SAMMA</t>
    </r>
  </si>
  <si>
    <r>
      <rPr>
        <sz val="12"/>
        <color theme="1"/>
        <rFont val="Calibri"/>
      </rPr>
      <t>Manutenção e Conservação de Imóveis-</t>
    </r>
    <r>
      <rPr>
        <b/>
        <sz val="12"/>
        <color theme="1"/>
        <rFont val="Calibri"/>
      </rPr>
      <t>JD CONSTRUÇÕES</t>
    </r>
  </si>
  <si>
    <t>Material Permanente - Ar Condicionados (Extraorçamentário)</t>
  </si>
  <si>
    <t>Obras em Andamento - Centro de Saúde (EO)</t>
  </si>
  <si>
    <t>DPEP - DIRETORIA DE PESQUISA, EXTENSÃO E PRODUÇÃO</t>
  </si>
  <si>
    <t>UGR 155260</t>
  </si>
  <si>
    <t xml:space="preserve">PESQUISA </t>
  </si>
  <si>
    <t>PROJETOS DE PESQUISA- PI - LEN09P20FAI</t>
  </si>
  <si>
    <t>Auxílios BOLSAS para Estudos e Pesquisas</t>
  </si>
  <si>
    <t>2023NE000008</t>
  </si>
  <si>
    <t>Auxílios BOLSAS para Estudos e Pesquisas (Edital 308/2022)</t>
  </si>
  <si>
    <t>3.33.90.48-01</t>
  </si>
  <si>
    <t>Auxílio a Pessoas Físicas - PUBLICAÇÕES</t>
  </si>
  <si>
    <t>OUTRAS DESPESAS COM PESQUISA</t>
  </si>
  <si>
    <t>Diárias a servidores - Demandas Regionais</t>
  </si>
  <si>
    <t>Diárias a servidores - MEPT</t>
  </si>
  <si>
    <t>2023NE000037</t>
  </si>
  <si>
    <t>Diárias a servidores - Grupos de Pesquisa</t>
  </si>
  <si>
    <t>Locação de Transporte - MEPT</t>
  </si>
  <si>
    <t>Diárias a Colaboradores Eventuais - Demandas Regionais</t>
  </si>
  <si>
    <t>Auxílios p/Desenv de Estudos e Pesquisas - Grupos de Pesquisa</t>
  </si>
  <si>
    <t>Material de Consumo - Limpeza e Higienização</t>
  </si>
  <si>
    <t>Manut e Conserv de Maq e Equip - Laboratórios</t>
  </si>
  <si>
    <t>3.33.90.20-01</t>
  </si>
  <si>
    <t>Auxílios à Pesquisadores</t>
  </si>
  <si>
    <t>Serviços de Transportes - MEPT</t>
  </si>
  <si>
    <t>UGR 155261</t>
  </si>
  <si>
    <t>EXTENSÃO</t>
  </si>
  <si>
    <t>PROJETOS DE EXTENSÃO- PI - LEN09P21FAI</t>
  </si>
  <si>
    <t>Diárias a servidores - Eventos Regionais</t>
  </si>
  <si>
    <t>2023NE000109</t>
  </si>
  <si>
    <t>BOLSA DE EXTENSÃO ESTUDANTES - Edital 187/2023</t>
  </si>
  <si>
    <t>BOLSA DE EXTENSÃO ESTUDANTES - PATAS DADAS</t>
  </si>
  <si>
    <t>BOLSA REF EDITAL PISSF 2021-PROJ MULHERES EMPREENDEDORAS-AUGUSTO</t>
  </si>
  <si>
    <t>Auxílios para Estudos e Pesquisas - Eventos Regionais</t>
  </si>
  <si>
    <t>Auxílios para Estudos e Pesquisas - Demandas Regionais</t>
  </si>
  <si>
    <t>Auxílio a Pessoa Física - Demandas Regionais</t>
  </si>
  <si>
    <t>Serviços Gráficos e Editoriais - POLIMPRESSOS SERVIÇOS</t>
  </si>
  <si>
    <t>Serviços Gráficos e Editoriais - RB COMUNICAÇÃO</t>
  </si>
  <si>
    <t>OUTRAS DESPESAS COM EXTENSÃO</t>
  </si>
  <si>
    <t>Diárias a servidores - Jogos, Festivais e Mostras</t>
  </si>
  <si>
    <t>Diárias a Colaboradores Eventuais - Jogos, Festivais e Mostras</t>
  </si>
  <si>
    <t>Diárias a Colaboradores Eventuais - Eventos Regionais</t>
  </si>
  <si>
    <t>Auxílios Financeiros a Estudantes - PTRES 215518</t>
  </si>
  <si>
    <t>2023NE000111</t>
  </si>
  <si>
    <t>BOLSA DE EXTENSÃO ESTUDANTES - Edital 417 e 418 do IFFAR</t>
  </si>
  <si>
    <t>Material esportivo - 100 SPORTS</t>
  </si>
  <si>
    <t>Uniformes, Tecidos e Aviamentos - Jogos, Festivais e Mostras</t>
  </si>
  <si>
    <t>Serviços Técnicos Profissionais - PF - Eventos Regionais</t>
  </si>
  <si>
    <t>Serviço de Seleção e Treinamento -Jogos, Festivais e Mostras</t>
  </si>
  <si>
    <t>Serviços Técnicos Profissionais - PJ - SHOW ARISON E EMERSON</t>
  </si>
  <si>
    <t>2022NE000174</t>
  </si>
  <si>
    <r>
      <rPr>
        <sz val="12"/>
        <color theme="1"/>
        <rFont val="Calibri"/>
      </rPr>
      <t xml:space="preserve">Serviços Técnicos Profissionais - PJ - </t>
    </r>
    <r>
      <rPr>
        <b/>
        <sz val="12"/>
        <color theme="1"/>
        <rFont val="Calibri"/>
      </rPr>
      <t>MS EVENTOS EIRELI</t>
    </r>
  </si>
  <si>
    <t>Festividades e Homenagens - Festivais e Mostras</t>
  </si>
  <si>
    <t>Serviços de Áudio, Vídeo e Foto - Festivais e Mostras</t>
  </si>
  <si>
    <t>Serviços Gráficos e Editoriais - Festivais e Mostras</t>
  </si>
  <si>
    <t>Serviços Gráficos e Editoriais - MEPT</t>
  </si>
  <si>
    <t>Serviços de Transportes - Jogos de Integração</t>
  </si>
  <si>
    <t>Serviços de Transportes - Festivais e Mostras</t>
  </si>
  <si>
    <t>NAC</t>
  </si>
  <si>
    <t xml:space="preserve">Diárias a servidores </t>
  </si>
  <si>
    <t>Uniformes, Tecidos e Aviamentos</t>
  </si>
  <si>
    <t>2023NE000121</t>
  </si>
  <si>
    <t>Material de Consumo - Mat p/Manut Bens Móveis - BRUSIOS</t>
  </si>
  <si>
    <t>2023NE000146</t>
  </si>
  <si>
    <t>Material de Consumo - Mat p/Manut Bens Móveis - CLEBER</t>
  </si>
  <si>
    <t>2023NE000134</t>
  </si>
  <si>
    <t>Material de Consumo - Mat p/Manut Bens Móveis - PEDRO G FERNANDES</t>
  </si>
  <si>
    <t>2023NE000123</t>
  </si>
  <si>
    <t>Material de Consumo - Mat p/Manut Bens Móveis - T.M.T. INSTR</t>
  </si>
  <si>
    <t>2023NE000052</t>
  </si>
  <si>
    <r>
      <rPr>
        <sz val="12"/>
        <color theme="1"/>
        <rFont val="Calibri"/>
      </rPr>
      <t xml:space="preserve">Serviços Técnicos Profissionais - PJ - </t>
    </r>
    <r>
      <rPr>
        <b/>
        <sz val="12"/>
        <color theme="1"/>
        <rFont val="Calibri"/>
      </rPr>
      <t>MS EVENTOS EIRELI</t>
    </r>
  </si>
  <si>
    <t>Receita Própria - Fonte 81150 - PTRES 193570</t>
  </si>
  <si>
    <t>Equipamento e Material Permanente</t>
  </si>
  <si>
    <t>2023NE120/152</t>
  </si>
  <si>
    <t>3.44.90.52-26</t>
  </si>
  <si>
    <t>Equip.Mat.Permanente - Instrumentos Musicais - BRUSIOS</t>
  </si>
  <si>
    <t>2023NE145/153</t>
  </si>
  <si>
    <t>Equip.Mat.Permanente - Instrumentos Musicais - CLEBER NASCIMENTO</t>
  </si>
  <si>
    <t>2023NE133/155</t>
  </si>
  <si>
    <t>Equip.Mat.Permanente - Instrumentos Musicais - PEDRO G FERNANDES</t>
  </si>
  <si>
    <t>2023NE122/154</t>
  </si>
  <si>
    <t>Equip.Mat.Permanente - Instrumentos Musicais - T.M.T. INSTR</t>
  </si>
  <si>
    <t>3.33.90.30-18</t>
  </si>
  <si>
    <t>Materias e Medicamentos Veterinários - "Bem Estar Animal"</t>
  </si>
  <si>
    <t>Manutenção e Conservação de Veículos - "Bem Estar Animal"</t>
  </si>
  <si>
    <t>UGR 155262</t>
  </si>
  <si>
    <t>PRODUÇÃO</t>
  </si>
  <si>
    <t>2023NE000032</t>
  </si>
  <si>
    <t>2023NE000038</t>
  </si>
  <si>
    <t>2022NE000084</t>
  </si>
  <si>
    <r>
      <rPr>
        <sz val="12"/>
        <color theme="1"/>
        <rFont val="Calibri"/>
      </rPr>
      <t xml:space="preserve">Material de Consumo - Gás - </t>
    </r>
    <r>
      <rPr>
        <b/>
        <sz val="12"/>
        <color theme="1"/>
        <rFont val="Calibri"/>
      </rPr>
      <t>NITROVALE</t>
    </r>
  </si>
  <si>
    <t>2021NE000039</t>
  </si>
  <si>
    <t>Material de Consumo - Alimentação Animal -FRANCINE*/JOSE EURICO</t>
  </si>
  <si>
    <t>2021NE000183</t>
  </si>
  <si>
    <t>Material de Consumo - Alimentação Animal -VETSUL/AGRIVET</t>
  </si>
  <si>
    <t>2021NE000184</t>
  </si>
  <si>
    <t>Material de Consumo - Alimentação Animal -JOSÉ EURICO</t>
  </si>
  <si>
    <t>2023NE000006</t>
  </si>
  <si>
    <t>Material de Consumo - Alimentação Animal-GRUPO FG</t>
  </si>
  <si>
    <t>2023NE000036</t>
  </si>
  <si>
    <t>2023NE000127</t>
  </si>
  <si>
    <t>Material de Consumo - Alimentação Animal-LAVORO</t>
  </si>
  <si>
    <t>2023NE000128</t>
  </si>
  <si>
    <t>Material de Consumo - Alimentação Animal-JOSÉ EURICO</t>
  </si>
  <si>
    <t>2023NE000129</t>
  </si>
  <si>
    <t>Material de Consumo - Alimentação Animal-VETSUL</t>
  </si>
  <si>
    <t>2023NE000130</t>
  </si>
  <si>
    <t>Material de Consumo - Alimentação Animal-MAGNO KREBS</t>
  </si>
  <si>
    <t>2023NE000131</t>
  </si>
  <si>
    <t>Material de Consumo - Alimentação Animal-JORGE VINICIUS</t>
  </si>
  <si>
    <t>2023NE000132</t>
  </si>
  <si>
    <t>Material de Consumo - Alimentação Animal-AGRIVET</t>
  </si>
  <si>
    <t>2022NE000207</t>
  </si>
  <si>
    <t>3.33.90.30-08</t>
  </si>
  <si>
    <t>Material de Consumo - Animais para Pesquisa e Abate - AGROFORTE</t>
  </si>
  <si>
    <t>2022NE000261</t>
  </si>
  <si>
    <t>2023NE000147</t>
  </si>
  <si>
    <t>Material de Consumo - Animais para Pesquisa e Abate - EMBRAPA</t>
  </si>
  <si>
    <t>2020NE800155</t>
  </si>
  <si>
    <t>Material de Consumo - Químicos - FRANCINE GUIDO</t>
  </si>
  <si>
    <t>2023NE000001</t>
  </si>
  <si>
    <t>Material de Consumo - Químicos - MERCOSUL AGRONEGÓCIO</t>
  </si>
  <si>
    <t>2023NE000095</t>
  </si>
  <si>
    <t>Material de Consumo - Químicos - PROC 9 IND QUIM</t>
  </si>
  <si>
    <t>2023NE000118</t>
  </si>
  <si>
    <t xml:space="preserve">Material de Consumo - Químicos - MULTIPLIER </t>
  </si>
  <si>
    <t>3.33.90.30-12</t>
  </si>
  <si>
    <t>Material de Consumo - Coudelaria e Zootécnico</t>
  </si>
  <si>
    <t>2023NE000087</t>
  </si>
  <si>
    <t>Material de Consumo - Mat e Medic Veterinários -VETSUL</t>
  </si>
  <si>
    <t>2023NE000088</t>
  </si>
  <si>
    <t>Material de Consumo - Mat e Medic Veterinários -E.R.FELIX</t>
  </si>
  <si>
    <t>2023NE000089</t>
  </si>
  <si>
    <t>Material de Consumo - Mat e Medic Veterinários -JR BRAGA GUIMARAES</t>
  </si>
  <si>
    <t>2023NE000090</t>
  </si>
  <si>
    <t>Material de Consumo - Mat e Medic Veterinários -D PRONTO NUTRIÇÃO ANIMAL</t>
  </si>
  <si>
    <t>2023NE000091</t>
  </si>
  <si>
    <t>Material de Consumo - Mat e Medic Veterinários -COMERCIAL CEDRO</t>
  </si>
  <si>
    <t>2023NE000092</t>
  </si>
  <si>
    <t>Material de Consumo - Mat e Medic Veterinários -E &amp; EF COM E REPRES</t>
  </si>
  <si>
    <t>2023NE000093</t>
  </si>
  <si>
    <t>Material de Consumo - Mat e Medic Veterinários -BR COM PROD VET</t>
  </si>
  <si>
    <t>2023NE000094</t>
  </si>
  <si>
    <t>Material de Consumo - Mat e Medic Veterinários -AGROFORTE</t>
  </si>
  <si>
    <t>Material de Consumo - Mat e Medic Veterinários -PROC 9 IND QUIM</t>
  </si>
  <si>
    <t>2023NE000096</t>
  </si>
  <si>
    <t>Material de Consumo - Mat e Medic Veterinários -CESAR &amp; ROCHA</t>
  </si>
  <si>
    <t>2023NE000101</t>
  </si>
  <si>
    <t>Material de Consumo - Mat e Medic Veterinários -MAGNO CARLOS</t>
  </si>
  <si>
    <t>2023NE000104</t>
  </si>
  <si>
    <t>Material de Consumo - Mat e Medic Veterinários -TURVOMED DISTR</t>
  </si>
  <si>
    <t>2023NE000119</t>
  </si>
  <si>
    <t>Material de Consumo - Mat e Medic Veterinários -MATOS MEDICAMENTOS</t>
  </si>
  <si>
    <t>2023NE000097</t>
  </si>
  <si>
    <t>Material de Consumo - Embalagem - AGROFORTE</t>
  </si>
  <si>
    <t>2023NE000100</t>
  </si>
  <si>
    <t>Material de Consumo - Embalagem - PABLO LUIS MARTINS</t>
  </si>
  <si>
    <t>2022NE000201</t>
  </si>
  <si>
    <t>Material de Consumo - Embalagem - BV EQUIP DE PROTEÇÃO</t>
  </si>
  <si>
    <t>Material de Consumo - Limpeza e Higienização -CESAR &amp; ROCHA</t>
  </si>
  <si>
    <t>Material de Consumo - Limpeza e Higienização - AGROFORTE</t>
  </si>
  <si>
    <t>Material de Consumo - Limpeza e Higienização-PROC 9 IND QUIM</t>
  </si>
  <si>
    <t>2023NE000083</t>
  </si>
  <si>
    <t xml:space="preserve">Material de Consumo - Uniformes, Tecidos e Aviamentos - OUTLET </t>
  </si>
  <si>
    <t>Material de Consumo - Manut de Bens Imóveis/Instalações</t>
  </si>
  <si>
    <t>2023NE000098</t>
  </si>
  <si>
    <t>Material de Consumo - Proteção e Segurança - PROTFLEX</t>
  </si>
  <si>
    <t>2023NE000099</t>
  </si>
  <si>
    <t>Material de Consumo - Proteção e Segurança - ERIC XAVIER COLOMBEKI</t>
  </si>
  <si>
    <t>2023NE000102</t>
  </si>
  <si>
    <t>Material de Consumo - Proteção e Segurança - PREVESUL EQUIP</t>
  </si>
  <si>
    <t>2023NE000141</t>
  </si>
  <si>
    <t>Material de Consumo - Proteção e Segurança - MASTERSUL</t>
  </si>
  <si>
    <t>2023NE000142</t>
  </si>
  <si>
    <t>Material de Consumo - Proteção e Segurança - JJ VITALLI</t>
  </si>
  <si>
    <t>2023NE000143</t>
  </si>
  <si>
    <t>Material de Consumo - Proteção e Segurança - MGS BRASIL</t>
  </si>
  <si>
    <t>2022NE000204</t>
  </si>
  <si>
    <t>3.33.90.30-31</t>
  </si>
  <si>
    <t>Mat Consumo - Sementes, Mudas e Insumos - OSMAR JOAO</t>
  </si>
  <si>
    <t>2023NE000077</t>
  </si>
  <si>
    <t>Mat Consumo - Sementes, Mudas e Insumos - AGROFORTE</t>
  </si>
  <si>
    <t>Material de Consumo - Mat Hospitalar -MATOS MEDICAMENTOS</t>
  </si>
  <si>
    <t>Material de Consumo - Conservação de Véiculos</t>
  </si>
  <si>
    <t>2023NE000144</t>
  </si>
  <si>
    <t>Material de Consumo -Material Biológico - MAGNO KREBS</t>
  </si>
  <si>
    <t>Material de Consumo - Ferramentas - AGROFORTE</t>
  </si>
  <si>
    <t>2022NE000260</t>
  </si>
  <si>
    <r>
      <rPr>
        <sz val="12"/>
        <color rgb="FF000000"/>
        <rFont val="Calibri"/>
      </rPr>
      <t xml:space="preserve">Apoio Administrativo - Serviços Agropecuários- </t>
    </r>
    <r>
      <rPr>
        <b/>
        <sz val="12"/>
        <color rgb="FF000000"/>
        <rFont val="Calibri"/>
      </rPr>
      <t>SERVITECK</t>
    </r>
  </si>
  <si>
    <t>2023NE000010</t>
  </si>
  <si>
    <r>
      <rPr>
        <sz val="12"/>
        <color theme="1"/>
        <rFont val="Calibri"/>
      </rPr>
      <t xml:space="preserve">Apoio Administrativo - Serviços Agropecuários- </t>
    </r>
    <r>
      <rPr>
        <b/>
        <sz val="12"/>
        <color theme="1"/>
        <rFont val="Calibri"/>
      </rPr>
      <t>PHENIX</t>
    </r>
  </si>
  <si>
    <t>2022NE000103</t>
  </si>
  <si>
    <r>
      <rPr>
        <sz val="12"/>
        <color theme="1"/>
        <rFont val="Calibri"/>
      </rPr>
      <t xml:space="preserve">Apoio Administrativo - Serviços Agropecuários- </t>
    </r>
    <r>
      <rPr>
        <b/>
        <sz val="12"/>
        <color theme="1"/>
        <rFont val="Calibri"/>
      </rPr>
      <t>SERVITECK- abr e mai/22</t>
    </r>
  </si>
  <si>
    <t>2023NE000059</t>
  </si>
  <si>
    <t>3.33.90.39-12</t>
  </si>
  <si>
    <r>
      <rPr>
        <sz val="12"/>
        <color theme="1"/>
        <rFont val="Calibri"/>
      </rPr>
      <t xml:space="preserve">Serviços de Máquinas Rodoviárias - </t>
    </r>
    <r>
      <rPr>
        <b/>
        <sz val="12"/>
        <color theme="1"/>
        <rFont val="Calibri"/>
      </rPr>
      <t xml:space="preserve">DM SPRINGER </t>
    </r>
  </si>
  <si>
    <t>2022NE000026</t>
  </si>
  <si>
    <r>
      <rPr>
        <sz val="12"/>
        <color theme="1"/>
        <rFont val="Calibri"/>
      </rPr>
      <t xml:space="preserve">Manut de Equipamentos - Ordenhadeira - </t>
    </r>
    <r>
      <rPr>
        <b/>
        <sz val="12"/>
        <color theme="1"/>
        <rFont val="Calibri"/>
      </rPr>
      <t>DANIELI AGRO</t>
    </r>
  </si>
  <si>
    <t>Manut de Equipamentos - Silos e Motores</t>
  </si>
  <si>
    <t>2023NE000067</t>
  </si>
  <si>
    <r>
      <rPr>
        <sz val="12"/>
        <color theme="1"/>
        <rFont val="Calibri"/>
      </rPr>
      <t xml:space="preserve">Serviços de Produção Industrial - </t>
    </r>
    <r>
      <rPr>
        <b/>
        <sz val="12"/>
        <color theme="1"/>
        <rFont val="Calibri"/>
      </rPr>
      <t>SERRARIA MATENSE</t>
    </r>
  </si>
  <si>
    <t>2023NE000158</t>
  </si>
  <si>
    <r>
      <rPr>
        <sz val="12"/>
        <color theme="1"/>
        <rFont val="Calibri"/>
      </rPr>
      <t xml:space="preserve">Serviços de Produção Industrial - </t>
    </r>
    <r>
      <rPr>
        <b/>
        <sz val="12"/>
        <color theme="1"/>
        <rFont val="Calibri"/>
      </rPr>
      <t>SERRARIA MATENSE (Fonte 1444)</t>
    </r>
  </si>
  <si>
    <t>2023NE000135</t>
  </si>
  <si>
    <t>2022NE000019</t>
  </si>
  <si>
    <r>
      <rPr>
        <sz val="12"/>
        <color theme="1"/>
        <rFont val="Calibri"/>
      </rPr>
      <t>Serviço manutenção maquinas  -</t>
    </r>
    <r>
      <rPr>
        <b/>
        <sz val="12"/>
        <color theme="1"/>
        <rFont val="Calibri"/>
      </rPr>
      <t>LUIS ANTONIO</t>
    </r>
  </si>
  <si>
    <t>2023NE000012</t>
  </si>
  <si>
    <t>Reeembolso/ressarcimento despesas servidores - DPEP</t>
  </si>
  <si>
    <t>2021NE000143</t>
  </si>
  <si>
    <t>Equipamentos- ALTA COMÉRCIO</t>
  </si>
  <si>
    <t>3.44.90.52-46</t>
  </si>
  <si>
    <t>Semoventes e equipamentos de montaria - MAGNO</t>
  </si>
  <si>
    <t>3.44.90.52-40</t>
  </si>
  <si>
    <t>Equipamentos- DOCAMPOAGRICOLA IND DE MAQ AGRIC LTDA</t>
  </si>
  <si>
    <t>Material de Consumo - Manut de Bens Imóveis/Inst (Conteiner)</t>
  </si>
  <si>
    <t>Mat Consumo - Sementes, Mudas e Insumos</t>
  </si>
  <si>
    <t>3.33.90.30-48</t>
  </si>
  <si>
    <t>Material de Consumo - B Móveis (Central de Resíduos)</t>
  </si>
  <si>
    <r>
      <rPr>
        <sz val="12"/>
        <color theme="1"/>
        <rFont val="Calibri"/>
      </rPr>
      <t xml:space="preserve">Apoio Administrativo - Serviços Agropecuários- </t>
    </r>
    <r>
      <rPr>
        <b/>
        <sz val="12"/>
        <color theme="1"/>
        <rFont val="Calibri"/>
      </rPr>
      <t>PHENIX</t>
    </r>
  </si>
  <si>
    <t>Obras e Intalações</t>
  </si>
  <si>
    <t>Obras em Andamento - Galpões Tambo (Extraorçamentário)</t>
  </si>
  <si>
    <t>Instalações - Tanque para Combustível (Extraorçamentário)</t>
  </si>
  <si>
    <t>Equipamentos - Lab Maker - Fonte 8342261010</t>
  </si>
  <si>
    <t>2022NE000267</t>
  </si>
  <si>
    <t>3.44.90.52-32</t>
  </si>
  <si>
    <t>Equipamentos- LAB MAKER - H3N Desenvolvimento</t>
  </si>
  <si>
    <t>2022NE000272</t>
  </si>
  <si>
    <t>Equipamentos- LAB MAKER - 3Deras</t>
  </si>
  <si>
    <t>2022NE000277</t>
  </si>
  <si>
    <t>Equipamentos- LAB MAKER - R.C.Romano</t>
  </si>
  <si>
    <t>2022NE000278</t>
  </si>
  <si>
    <t>Equipamentos- LAB MAKER - Renan Allan Sanches</t>
  </si>
  <si>
    <t>2022NE000279</t>
  </si>
  <si>
    <t>Equipamentos- LAB MAKER - LVM Comercio</t>
  </si>
  <si>
    <t>2022NE000270</t>
  </si>
  <si>
    <t>Equipamentos- LAB MAKER - A2 Robotics</t>
  </si>
  <si>
    <t>2022NE000268</t>
  </si>
  <si>
    <t>3.44.90.52-38</t>
  </si>
  <si>
    <t>Equipamentos- LAB MAKER - Nortwest Máquinas</t>
  </si>
  <si>
    <t>2022NE000271</t>
  </si>
  <si>
    <t>Equipamentos- LAB MAKER - Boing Comércio</t>
  </si>
  <si>
    <t>2022NE000274</t>
  </si>
  <si>
    <t>Equipamentos- LAB MAKER - Eletrimax</t>
  </si>
  <si>
    <t>2022NE000275</t>
  </si>
  <si>
    <t>Equipamentos- LAB MAKER - DF Eletrotécnica</t>
  </si>
  <si>
    <t>2022NE000276</t>
  </si>
  <si>
    <t>Equipamentos- LAB MAKER - AC Comércio</t>
  </si>
  <si>
    <t>2022NE000273</t>
  </si>
  <si>
    <t>Equipamentos- LAB MAKER - Lider Notebooks</t>
  </si>
  <si>
    <t>2022NE000269</t>
  </si>
  <si>
    <t>Equipamentos- LAB MAKER - Americana3D</t>
  </si>
  <si>
    <t>2022NE000250</t>
  </si>
  <si>
    <t>3.44.90.52-02</t>
  </si>
  <si>
    <r>
      <rPr>
        <sz val="12"/>
        <color theme="1"/>
        <rFont val="Calibri"/>
      </rPr>
      <t xml:space="preserve">Equipamentos- STOBTECH - Drone </t>
    </r>
    <r>
      <rPr>
        <b/>
        <sz val="12"/>
        <color theme="1"/>
        <rFont val="Calibri"/>
      </rPr>
      <t>(Fonte 81880)</t>
    </r>
  </si>
  <si>
    <t>2022NE000255</t>
  </si>
  <si>
    <t>3.44.90.52-28</t>
  </si>
  <si>
    <r>
      <rPr>
        <sz val="12"/>
        <color theme="1"/>
        <rFont val="Calibri"/>
      </rPr>
      <t xml:space="preserve">Equipamentos- IZ DA SILVA - Pasteurizador </t>
    </r>
    <r>
      <rPr>
        <b/>
        <sz val="12"/>
        <color theme="1"/>
        <rFont val="Calibri"/>
      </rPr>
      <t>(Fonte 81880)</t>
    </r>
  </si>
  <si>
    <t>2022NE000233</t>
  </si>
  <si>
    <r>
      <rPr>
        <sz val="12"/>
        <color theme="1"/>
        <rFont val="Calibri"/>
      </rPr>
      <t xml:space="preserve">Equipamentos- </t>
    </r>
    <r>
      <rPr>
        <b/>
        <sz val="12"/>
        <color theme="1"/>
        <rFont val="Calibri"/>
      </rPr>
      <t>DAIANA VOGEL ZIMMERMANN (FONTE 81880)</t>
    </r>
  </si>
  <si>
    <t>2022NE000259</t>
  </si>
  <si>
    <r>
      <rPr>
        <sz val="12"/>
        <color theme="1"/>
        <rFont val="Calibri"/>
      </rPr>
      <t xml:space="preserve">Mat Consumo - Alimentação Animal- AGRIVET </t>
    </r>
    <r>
      <rPr>
        <b/>
        <sz val="12"/>
        <color theme="1"/>
        <rFont val="Calibri"/>
      </rPr>
      <t>(Fonte 81500)</t>
    </r>
  </si>
  <si>
    <t>2022NE000219</t>
  </si>
  <si>
    <t>Mat Consumo - Alimentação Animal-MAGNO KREBS</t>
  </si>
  <si>
    <t>Material de Consumo - Químicos - OSMAR JOÃO</t>
  </si>
  <si>
    <t>2022NE000214</t>
  </si>
  <si>
    <t>Material de Consumo - Químicos - SANIGRAN</t>
  </si>
  <si>
    <t>Mat Consumo - Sementes, Mudas e Insumos - AGRIVET</t>
  </si>
  <si>
    <t>2022NE000217</t>
  </si>
  <si>
    <t>Mat Consumo - Sementes, Mudas e Insumos - JOSÉ EURICO</t>
  </si>
  <si>
    <r>
      <rPr>
        <sz val="12"/>
        <color theme="1"/>
        <rFont val="Calibri"/>
      </rPr>
      <t>Material de Consumo - Sementes, Mudas-</t>
    </r>
    <r>
      <rPr>
        <b/>
        <sz val="12"/>
        <color theme="1"/>
        <rFont val="Calibri"/>
      </rPr>
      <t>AGROFORTE (FONTE 81500)</t>
    </r>
  </si>
  <si>
    <r>
      <rPr>
        <sz val="12"/>
        <color theme="1"/>
        <rFont val="Calibri"/>
      </rPr>
      <t>Material de Consumo - Sementes, Mudas-</t>
    </r>
    <r>
      <rPr>
        <b/>
        <sz val="12"/>
        <color theme="1"/>
        <rFont val="Calibri"/>
      </rPr>
      <t>AGRIVET (FONTE 81500)</t>
    </r>
  </si>
  <si>
    <t>2022NE000212</t>
  </si>
  <si>
    <r>
      <rPr>
        <sz val="12"/>
        <color theme="1"/>
        <rFont val="Calibri"/>
      </rPr>
      <t xml:space="preserve">Apoio Administrativo - Serviços Agropecuários- </t>
    </r>
    <r>
      <rPr>
        <b/>
        <sz val="12"/>
        <color theme="1"/>
        <rFont val="Calibri"/>
      </rPr>
      <t>PHENIX (Fonte 81500)</t>
    </r>
  </si>
  <si>
    <t>Semoventes e equipamentos de montaria - Carneiro - MAGNO</t>
  </si>
  <si>
    <t>DESPESAS REALIZADAS PELA REITORIA</t>
  </si>
  <si>
    <t>PIIQPE</t>
  </si>
  <si>
    <t>3.33.90.20-00</t>
  </si>
  <si>
    <t>Auxílio Financeiro à Pesquisadores - Cartão BB Pesquisa</t>
  </si>
  <si>
    <t>3.33.90.30.01</t>
  </si>
  <si>
    <t>3.33.90.36-07</t>
  </si>
  <si>
    <t>Estagiários - SIAPE</t>
  </si>
  <si>
    <t>3.33.90.40-00</t>
  </si>
  <si>
    <t>Fundo de TI</t>
  </si>
  <si>
    <t>CORTES ORÇAMENTÁRIOS</t>
  </si>
  <si>
    <t>DESPESAS REALIZADAS PARA OUTRAS UNIDADES DO IFFAR</t>
  </si>
  <si>
    <t>2023NE000016</t>
  </si>
  <si>
    <t>Material de Consumo - Calcário - Agroforte- STO AUGUSTO</t>
  </si>
  <si>
    <t>2023NE000140</t>
  </si>
  <si>
    <r>
      <rPr>
        <sz val="12"/>
        <color theme="1"/>
        <rFont val="Calibri"/>
      </rPr>
      <t xml:space="preserve">Serviços de Transportes - </t>
    </r>
    <r>
      <rPr>
        <b/>
        <sz val="12"/>
        <color theme="1"/>
        <rFont val="Calibri"/>
      </rPr>
      <t>ARGENTA - São Borja</t>
    </r>
  </si>
  <si>
    <t xml:space="preserve">              CONFERÊNCIAS SALDOS PLANILHA X RAZÃO</t>
  </si>
  <si>
    <t>RESUMO GERAL DA EXECUÇÃO ORÇAMENTÁRIA</t>
  </si>
  <si>
    <t>MATRIZ - PA</t>
  </si>
  <si>
    <t>AJUSTES</t>
  </si>
  <si>
    <t>MATRIZ-AJUSTADO</t>
  </si>
  <si>
    <t>OUTROS</t>
  </si>
  <si>
    <t>PERCENTUAIS COMPARATIVOS</t>
  </si>
  <si>
    <t>RAP ANULADO</t>
  </si>
  <si>
    <t>CONTROLE DE NCs RECEBIDAS - LIBERAÇÃO DE ORÇAMENTO - MATRIZ - PTRES 170802</t>
  </si>
  <si>
    <t>CONTROLE DE NCs RECEBIDAS - LIBERAÇÃO DE ORÇAMENTO - ASSISTÊNCIA - 170803</t>
  </si>
  <si>
    <t>CONTROLE DE NCs RECEBIDAS - LIBERAÇÃO DE ORÇAMENTO - FNDE - PTRES 169949</t>
  </si>
  <si>
    <t>CONTROLE DE NCs RECEBIDAS - LIBERAÇÃO DE ORÇAMENTO - RECEITA PRÓPRIA</t>
  </si>
  <si>
    <t>CONTROLE DE NCs RECEBIDAS - LIBERAÇÃO DE ORÇAMENTO - OUTRAS FONTES</t>
  </si>
  <si>
    <t>CONTROLE DE NCs RECEBIDAS - LIBERAÇÃO DE ORÇAMENTO - ASSISTÊNCIA - 170804</t>
  </si>
  <si>
    <t>CONTROLE DE NCs RECEBIDAS - LIBERAÇÃO DE ORÇAMENTO - EXTENSÃO - 215518</t>
  </si>
  <si>
    <t>CONTROLE DE NCs RECEBIDAS - LIBERAÇÃO DE ORÇAMENTO - EMENDA - 217936</t>
  </si>
  <si>
    <t>PTRES</t>
  </si>
  <si>
    <t>SDO DISPONIVEL</t>
  </si>
  <si>
    <t>DIVERGÊNCIAS</t>
  </si>
  <si>
    <t>ORÇAMENTO PLANEJADO</t>
  </si>
  <si>
    <t>ORÇAMENTO LIBERADO</t>
  </si>
  <si>
    <t>ORÇAMENTO EMPENHADO</t>
  </si>
  <si>
    <t>ORÇAMENTO EXECUTADO</t>
  </si>
  <si>
    <t>ORÇAMENTO PAGO</t>
  </si>
  <si>
    <t>193570/170802</t>
  </si>
  <si>
    <t>SALDO PLANEJADO A LIBERAR</t>
  </si>
  <si>
    <t>RESUMO DA RECEITA POR FONTE</t>
  </si>
  <si>
    <t>DESPESA POR FONTE</t>
  </si>
  <si>
    <t>DISPONÍVEL</t>
  </si>
  <si>
    <t>SDO PLANILHA</t>
  </si>
  <si>
    <t>63110.00.00</t>
  </si>
  <si>
    <t>VALORES RETIDOS NA REITORIA (ESTIMADO)</t>
  </si>
  <si>
    <t>NCs ENVIADAS À REITORIA (COBERTURA DE DESPESAS)</t>
  </si>
  <si>
    <t>NCs ENVIADAS À OUTRAS UNIDADES (COBERTURA DE DESPESAS)</t>
  </si>
  <si>
    <t>NCs ENVIADAS À OUTRAS UNIDADES (TRANSF ORÇAMENTÁRIA)</t>
  </si>
  <si>
    <t>SALDO LIBERADO A EMPENHAR</t>
  </si>
  <si>
    <t>FUNCIONAMENTO</t>
  </si>
  <si>
    <t>180702</t>
  </si>
  <si>
    <t>SDO RAZÃO</t>
  </si>
  <si>
    <t>63210.00.00</t>
  </si>
  <si>
    <t>FINALIDADE</t>
  </si>
  <si>
    <t>R$</t>
  </si>
  <si>
    <t>IDENTIFICAÇÃO DAS NCs</t>
  </si>
  <si>
    <t>UNIDADES</t>
  </si>
  <si>
    <t>NC</t>
  </si>
  <si>
    <t>217936</t>
  </si>
  <si>
    <t>SALDO EMPENHADO A EXECUTAR</t>
  </si>
  <si>
    <t>AE - RIP</t>
  </si>
  <si>
    <t>180703</t>
  </si>
  <si>
    <t>DIFERENÇAS</t>
  </si>
  <si>
    <t>REDITEC</t>
  </si>
  <si>
    <t>SALDO EXECUTADO A PAGAR</t>
  </si>
  <si>
    <t>AE - AUXÍLIOS</t>
  </si>
  <si>
    <t>180704</t>
  </si>
  <si>
    <t>PIIQP</t>
  </si>
  <si>
    <t>TOTAL DISPONÍVEL</t>
  </si>
  <si>
    <t>SALDO DE RESTOS A PAGAR</t>
  </si>
  <si>
    <t>169949</t>
  </si>
  <si>
    <t>RESTOS A PAGAR PAGOS</t>
  </si>
  <si>
    <t>RECEITA PRÓPRIA</t>
  </si>
  <si>
    <t>193570</t>
  </si>
  <si>
    <t>CARTÃO BB PESQUISA</t>
  </si>
  <si>
    <t>A LIQUIDAR</t>
  </si>
  <si>
    <t>RESTOS A PAGAR ANULADOS</t>
  </si>
  <si>
    <t>EMENDA</t>
  </si>
  <si>
    <t>MANUTENÇÃO DA FROTA</t>
  </si>
  <si>
    <t>LIQUIDADOS</t>
  </si>
  <si>
    <t>CONFERÊNCIAS VALORES PA X NCS RECEBIDAS</t>
  </si>
  <si>
    <t>AÇÃO/PTRES</t>
  </si>
  <si>
    <t>CONTROLE</t>
  </si>
  <si>
    <t>PA</t>
  </si>
  <si>
    <t>DIFERENÇA</t>
  </si>
  <si>
    <t>RECEBIDO</t>
  </si>
  <si>
    <t>A RECEBER</t>
  </si>
  <si>
    <t>215518</t>
  </si>
  <si>
    <t>ESTAGIÁRIOS</t>
  </si>
  <si>
    <t>PAGOS</t>
  </si>
  <si>
    <t>20RL / 170802</t>
  </si>
  <si>
    <t>PNE</t>
  </si>
  <si>
    <t>204273</t>
  </si>
  <si>
    <t>FUNDO DE TI</t>
  </si>
  <si>
    <t>2994 / 170803</t>
  </si>
  <si>
    <t>TOTAL DA RECEITA</t>
  </si>
  <si>
    <t>Empenhado</t>
  </si>
  <si>
    <t>2994 / 170804</t>
  </si>
  <si>
    <t>DESPESAS EXECUTADAS PELA REITORIA SEM ENVIO DE ORÇAMENTO</t>
  </si>
  <si>
    <t>Liquidado</t>
  </si>
  <si>
    <t>2994 / 204273</t>
  </si>
  <si>
    <t>Pago</t>
  </si>
  <si>
    <t>Linha de Conformidade ---------------------------------------------------------&gt;</t>
  </si>
  <si>
    <t>Total ----------------------------------------------------------------------------------&gt;</t>
  </si>
  <si>
    <t>Serviços Terceirizados com Mão de Obra</t>
  </si>
  <si>
    <t>Serviços de Tecnologia da Informação</t>
  </si>
  <si>
    <t>Despesas Realizadas para outras Unidades do IFFAR</t>
  </si>
  <si>
    <t>DISTRIBUIÇÃO DO ORÇAMENTO POR FONTE DE RECURSO</t>
  </si>
  <si>
    <t>DISTRIBUIÇÃO DAS RESERVAS ORÇAMENTÁRIAS</t>
  </si>
  <si>
    <t>DISTRIBUIÇÃO DO ORÇAMENTO DA ASSISTÊNCIA ESTUDANTIL</t>
  </si>
  <si>
    <t>RECURSO LIVRE</t>
  </si>
  <si>
    <t>DISTRIBUIÇÃO DA MATRIZ ORÇAMENTÁRIA POR DIRETORIA</t>
  </si>
  <si>
    <t>DESPESA EMPENHADA POR DIRETORIA</t>
  </si>
  <si>
    <t>DESPESA EXECUTADA POR DIRETORIA</t>
  </si>
  <si>
    <t>ORÇAMENTO FUNCIONAMENTO (POR MÊS)</t>
  </si>
  <si>
    <t>MÊS DE REFERÊNCIA</t>
  </si>
  <si>
    <t>PLANEJADO</t>
  </si>
  <si>
    <t>LIBERADO</t>
  </si>
  <si>
    <t>ORÇAMENTO PLANEJADO X ORÇAMENTO LIBERADO</t>
  </si>
  <si>
    <t>DESPESAS EMPENHADAS, LIQUIDADAS E PAGAS</t>
  </si>
  <si>
    <t>EXECUÇÃO DOS RESTOS A PAGAR - RAPs</t>
  </si>
  <si>
    <t>RECEITA ARRECADADA POR FONTE DE RECURSO</t>
  </si>
  <si>
    <t>RECURSOS MATRIZ ORÇAMENTÁRIA</t>
  </si>
  <si>
    <t>ORÇAMENTO LIBERADO - MATRIZ ORÇAMENTÁRIA</t>
  </si>
  <si>
    <t>RAPs - INSCRITOS</t>
  </si>
  <si>
    <t>RAPs - PAGOS</t>
  </si>
  <si>
    <t>RAPs - SALDO</t>
  </si>
  <si>
    <t>RAPs - ANULADOS</t>
  </si>
  <si>
    <t>RECEITAS X DESPESAS por FONTE</t>
  </si>
  <si>
    <t>RECEITAS</t>
  </si>
  <si>
    <t>DESPESAS</t>
  </si>
  <si>
    <t>COMPOSIÇÃO SINTÉTICA DOS RESTOS A PAGAR</t>
  </si>
  <si>
    <t>EXECUÇÃO DA DESPESA - EMPENHADAS E PAGAS</t>
  </si>
  <si>
    <t xml:space="preserve">RAPs </t>
  </si>
  <si>
    <t>EMPENHADAS</t>
  </si>
  <si>
    <t>PAGAS</t>
  </si>
  <si>
    <t>RAPs do ANO</t>
  </si>
  <si>
    <t>RESTOS A PAGAR - EXERCÍCIOS ANTERIORES</t>
  </si>
  <si>
    <t xml:space="preserve">RESTOS A PAGAR DO EXERCÍCIO - LIQUIDADOS A PAGAR </t>
  </si>
  <si>
    <t>RESTOS A PAGAR DO EXERCÍCIO - NÃO LIQUIDADOS</t>
  </si>
  <si>
    <t>TOTAIS</t>
  </si>
  <si>
    <t>EXECUÇÃO DA DESPESA - EMPENHO DO ANO + RAP</t>
  </si>
  <si>
    <t>PREVISÃO DA DESPESA - RAP + ORÇAMENTO + EXTRAORÇAMENTO</t>
  </si>
  <si>
    <t>RAPs PAGOS</t>
  </si>
  <si>
    <t>NEs PAGOS</t>
  </si>
  <si>
    <t>RAPs</t>
  </si>
  <si>
    <t>Orçamento</t>
  </si>
  <si>
    <t>Extraorçamentário</t>
  </si>
  <si>
    <t>Total</t>
  </si>
  <si>
    <t>ORÇAMENTO MATRIZ</t>
  </si>
  <si>
    <t>RECEITAS PRÓPRIAS</t>
  </si>
  <si>
    <t>OUTRAS FONTES</t>
  </si>
  <si>
    <t>COMPOSIÇÃO ANALÍTICA DOS RESTOS A PAGAR</t>
  </si>
  <si>
    <t>DESPESAS PREDOMINANTES</t>
  </si>
  <si>
    <t>EVOLUÇÃO DO ORÇAMENTO 2020/2023</t>
  </si>
  <si>
    <t>ORÇAMENTO MATRIZ - CORRIGIDO</t>
  </si>
  <si>
    <t>ASSIST ESTUDANTIL - CORRIGIDO</t>
  </si>
  <si>
    <t>INDICE INFLAÇÃO OFICIAL</t>
  </si>
  <si>
    <t>DETALHAMENTO DO DÉFICIT DO ORÇAMENTO DE FUNCIONAMENTO</t>
  </si>
  <si>
    <t>Necessário</t>
  </si>
  <si>
    <t>Previsto</t>
  </si>
  <si>
    <t>Déficit</t>
  </si>
  <si>
    <t>%</t>
  </si>
  <si>
    <t xml:space="preserve">Total Orçamento Funcionamento </t>
  </si>
  <si>
    <t>DETALHAMENTO DO DÉFICIT DO ORÇAMENTO DE FUNCIONAMENTO (Continuação)</t>
  </si>
  <si>
    <t>DETALHAMENTO DO DÉFICIT DO ORÇAMENTO DA ASSISTÊNCIA ESTUDANTIL</t>
  </si>
  <si>
    <t>Total Orçamento Assistência Estudantil</t>
  </si>
  <si>
    <t>DETALHAMENTO DE RECURSOS EXTRAORÇAMENTÁRIOS</t>
  </si>
  <si>
    <t>Total Extraorçamento</t>
  </si>
  <si>
    <t>DETALHAMENTO DE RECURSOS EXTRAORÇAMENTÁRIOS (Continuação)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</si>
</sst>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([$R$ -416]* #,##0.00_);_([$R$ -416]* \(#,##0.00\);_([$R$ -416]* &quot;-&quot;??_);_(@_)"/>
    <numFmt numFmtId="165" formatCode="[$R$-416]\ #,##0.00;[Red]\-[$R$-416]\ #,##0.00"/>
    <numFmt numFmtId="166" formatCode="&quot;R$ &quot;#,##0.00;[Red]&quot;-R$ &quot;#,##0.00"/>
    <numFmt numFmtId="167" formatCode="\$#,##0.00"/>
    <numFmt numFmtId="168" formatCode="yyyy\.mm\.dd"/>
    <numFmt numFmtId="169" formatCode="[$R$ -416]#,##0.00"/>
    <numFmt numFmtId="170" formatCode="[$R$]#,##0.00"/>
  </numFmts>
  <fonts count="45">
    <font>
      <sz val="11"/>
      <color rgb="FF000000"/>
      <name val="Calibri"/>
      <scheme val="minor"/>
    </font>
    <font>
      <b/>
      <sz val="12"/>
      <color theme="1"/>
      <name val="Calibri"/>
    </font>
    <font>
      <sz val="11"/>
      <name val="Calibri"/>
    </font>
    <font>
      <sz val="11"/>
      <color theme="1"/>
      <name val="Calibri"/>
    </font>
    <font>
      <b/>
      <sz val="11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  <font>
      <sz val="12"/>
      <color theme="1"/>
      <name val="Calibri"/>
    </font>
    <font>
      <b/>
      <sz val="12"/>
      <color rgb="FFFF0000"/>
      <name val="Calibri"/>
    </font>
    <font>
      <b/>
      <sz val="12"/>
      <color rgb="FFFFFFFF"/>
      <name val="Calibri"/>
    </font>
    <font>
      <b/>
      <sz val="12"/>
      <color theme="0"/>
      <name val="Calibri"/>
    </font>
    <font>
      <sz val="12"/>
      <color rgb="FFFF00FF"/>
      <name val="Calibri"/>
    </font>
    <font>
      <sz val="12"/>
      <color rgb="FFFFFF00"/>
      <name val="Calibri"/>
    </font>
    <font>
      <sz val="12"/>
      <color theme="1"/>
      <name val="Calibri"/>
      <scheme val="minor"/>
    </font>
    <font>
      <sz val="12"/>
      <color rgb="FF0000FF"/>
      <name val="Calibri"/>
    </font>
    <font>
      <sz val="12"/>
      <color rgb="FFFF0000"/>
      <name val="Calibri"/>
    </font>
    <font>
      <b/>
      <sz val="12"/>
      <color rgb="FFFFFF00"/>
      <name val="Calibri"/>
    </font>
    <font>
      <i/>
      <sz val="12"/>
      <color theme="1"/>
      <name val="Calibri"/>
    </font>
    <font>
      <sz val="12"/>
      <color rgb="FF000000"/>
      <name val="Roboto"/>
    </font>
    <font>
      <b/>
      <sz val="12"/>
      <color rgb="FFAD5281"/>
      <name val="Calibri"/>
    </font>
    <font>
      <sz val="12"/>
      <color rgb="FF000000"/>
      <name val="Calibri"/>
      <scheme val="minor"/>
    </font>
    <font>
      <b/>
      <sz val="12"/>
      <color rgb="FFA64D79"/>
      <name val="Calibri"/>
    </font>
    <font>
      <sz val="12"/>
      <color theme="0"/>
      <name val="Calibri"/>
    </font>
    <font>
      <b/>
      <sz val="17"/>
      <color rgb="FF0000FF"/>
      <name val="Calibri"/>
    </font>
    <font>
      <b/>
      <sz val="11"/>
      <color theme="0"/>
      <name val="Calibri"/>
    </font>
    <font>
      <sz val="11"/>
      <color theme="1"/>
      <name val="Calibri"/>
    </font>
    <font>
      <b/>
      <sz val="11"/>
      <color rgb="FF000000"/>
      <name val="Calibri"/>
    </font>
    <font>
      <b/>
      <sz val="11"/>
      <color theme="1"/>
      <name val="Calibri"/>
    </font>
    <font>
      <sz val="11"/>
      <color rgb="FF000000"/>
      <name val="Calibri"/>
    </font>
    <font>
      <sz val="8"/>
      <color theme="1"/>
      <name val="Calibri"/>
    </font>
    <font>
      <sz val="9"/>
      <color theme="1"/>
      <name val="Calibri"/>
    </font>
    <font>
      <sz val="11"/>
      <color rgb="FFC9DAF8"/>
      <name val="Calibri"/>
    </font>
    <font>
      <b/>
      <sz val="11"/>
      <color theme="0"/>
      <name val="Calibri"/>
    </font>
    <font>
      <b/>
      <sz val="11"/>
      <color rgb="FFFFFFFF"/>
      <name val="Calibri"/>
    </font>
    <font>
      <sz val="11"/>
      <color theme="1"/>
      <name val="Calibri"/>
      <scheme val="minor"/>
    </font>
    <font>
      <b/>
      <sz val="11"/>
      <color rgb="FFFF0000"/>
      <name val="Calibri"/>
    </font>
    <font>
      <b/>
      <sz val="11"/>
      <color theme="1"/>
      <name val="Calibri"/>
      <scheme val="minor"/>
    </font>
    <font>
      <b/>
      <sz val="11"/>
      <color theme="0"/>
      <name val="Calibri"/>
      <scheme val="minor"/>
    </font>
    <font>
      <b/>
      <sz val="11"/>
      <color rgb="FFFFFFFF"/>
      <name val="Calibri"/>
      <scheme val="minor"/>
    </font>
    <font>
      <sz val="12"/>
      <color theme="1"/>
      <name val="Calibri, Arial"/>
    </font>
    <font>
      <b/>
      <sz val="12"/>
      <color theme="1"/>
      <name val="Calibri, Arial"/>
    </font>
    <font>
      <b/>
      <sz val="12"/>
      <color rgb="FFFF0000"/>
      <name val="Calibri, Arial"/>
    </font>
    <font>
      <b/>
      <sz val="12"/>
      <color rgb="FF000000"/>
      <name val="Roboto"/>
    </font>
    <font>
      <sz val="12"/>
      <color rgb="FFFF0000"/>
      <name val="Calibri, Arial"/>
    </font>
    <font>
      <b/>
      <sz val="12"/>
      <color rgb="FF0000FF"/>
      <name val="Calibri"/>
    </font>
  </fonts>
  <fills count="35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rgb="FF6FA8DC"/>
        <bgColor rgb="FF6FA8DC"/>
      </patternFill>
    </fill>
    <fill>
      <patternFill patternType="solid">
        <fgColor rgb="FF9FC5E8"/>
        <bgColor rgb="FF9FC5E8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  <fill>
      <patternFill patternType="solid">
        <fgColor rgb="FF92D050"/>
        <bgColor rgb="FF92D050"/>
      </patternFill>
    </fill>
    <fill>
      <patternFill patternType="solid">
        <fgColor rgb="FFBFBFBF"/>
        <bgColor rgb="FFBFBFBF"/>
      </patternFill>
    </fill>
    <fill>
      <patternFill patternType="solid">
        <fgColor rgb="FF274E13"/>
        <bgColor rgb="FF274E13"/>
      </patternFill>
    </fill>
    <fill>
      <patternFill patternType="solid">
        <fgColor rgb="FF6AA84F"/>
        <bgColor rgb="FF6AA84F"/>
      </patternFill>
    </fill>
    <fill>
      <patternFill patternType="solid">
        <fgColor rgb="FFEAD1DC"/>
        <bgColor rgb="FFEAD1DC"/>
      </patternFill>
    </fill>
    <fill>
      <patternFill patternType="solid">
        <fgColor theme="0"/>
        <bgColor theme="0"/>
      </patternFill>
    </fill>
    <fill>
      <patternFill patternType="solid">
        <fgColor rgb="FFF4CCCC"/>
        <bgColor rgb="FFF4CCCC"/>
      </patternFill>
    </fill>
    <fill>
      <patternFill patternType="solid">
        <fgColor rgb="FF93C47D"/>
        <bgColor rgb="FF93C47D"/>
      </patternFill>
    </fill>
    <fill>
      <patternFill patternType="solid">
        <fgColor rgb="FF00FFFF"/>
        <bgColor rgb="FF00FFFF"/>
      </patternFill>
    </fill>
    <fill>
      <patternFill patternType="solid">
        <fgColor rgb="FFFF9900"/>
        <bgColor rgb="FFFF9900"/>
      </patternFill>
    </fill>
    <fill>
      <patternFill patternType="solid">
        <fgColor rgb="FFFFD965"/>
        <bgColor rgb="FFFFD965"/>
      </patternFill>
    </fill>
    <fill>
      <patternFill patternType="solid">
        <fgColor rgb="FFFF0000"/>
        <bgColor rgb="FFFF0000"/>
      </patternFill>
    </fill>
    <fill>
      <patternFill patternType="solid">
        <fgColor rgb="FFAD5281"/>
        <bgColor rgb="FFAD5281"/>
      </patternFill>
    </fill>
    <fill>
      <patternFill patternType="solid">
        <fgColor rgb="FF89C765"/>
        <bgColor rgb="FF89C765"/>
      </patternFill>
    </fill>
    <fill>
      <patternFill patternType="solid">
        <fgColor rgb="FFA4C2F4"/>
        <bgColor rgb="FFA4C2F4"/>
      </patternFill>
    </fill>
    <fill>
      <patternFill patternType="solid">
        <fgColor rgb="FFF6B26B"/>
        <bgColor rgb="FFF6B26B"/>
      </patternFill>
    </fill>
    <fill>
      <patternFill patternType="solid">
        <fgColor rgb="FFB7B7B7"/>
        <bgColor rgb="FFB7B7B7"/>
      </patternFill>
    </fill>
    <fill>
      <patternFill patternType="solid">
        <fgColor rgb="FF666666"/>
        <bgColor rgb="FF666666"/>
      </patternFill>
    </fill>
    <fill>
      <patternFill patternType="solid">
        <fgColor rgb="FFFFFF00"/>
        <bgColor rgb="FFFFFF00"/>
      </patternFill>
    </fill>
    <fill>
      <patternFill patternType="solid">
        <fgColor rgb="FFFFD966"/>
        <bgColor rgb="FFFFD966"/>
      </patternFill>
    </fill>
    <fill>
      <patternFill patternType="solid">
        <fgColor rgb="FFFFF2CC"/>
        <bgColor rgb="FFFFF2CC"/>
      </patternFill>
    </fill>
    <fill>
      <patternFill patternType="solid">
        <fgColor rgb="FFF1C232"/>
        <bgColor rgb="FFF1C232"/>
      </patternFill>
    </fill>
    <fill>
      <patternFill patternType="solid">
        <fgColor rgb="FF38761D"/>
        <bgColor rgb="FF38761D"/>
      </patternFill>
    </fill>
    <fill>
      <patternFill patternType="solid">
        <fgColor rgb="FFC27BA0"/>
        <bgColor rgb="FFC27BA0"/>
      </patternFill>
    </fill>
    <fill>
      <patternFill patternType="solid">
        <fgColor rgb="FF0000FF"/>
        <bgColor rgb="FF0000FF"/>
      </patternFill>
    </fill>
    <fill>
      <patternFill patternType="solid">
        <fgColor rgb="FFC9DAF8"/>
        <bgColor rgb="FFC9DAF8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85">
    <xf numFmtId="0" fontId="0" fillId="0" borderId="0" xfId="0" applyFont="1" applyAlignment="1"/>
    <xf numFmtId="0" fontId="3" fillId="5" borderId="3" xfId="0" applyFont="1" applyFill="1" applyBorder="1"/>
    <xf numFmtId="0" fontId="1" fillId="7" borderId="4" xfId="0" applyFont="1" applyFill="1" applyBorder="1" applyAlignment="1">
      <alignment horizontal="left" vertical="center"/>
    </xf>
    <xf numFmtId="0" fontId="1" fillId="7" borderId="5" xfId="0" applyFont="1" applyFill="1" applyBorder="1" applyAlignment="1">
      <alignment horizontal="left" vertical="center"/>
    </xf>
    <xf numFmtId="0" fontId="5" fillId="7" borderId="5" xfId="0" applyFont="1" applyFill="1" applyBorder="1" applyAlignment="1">
      <alignment horizontal="left" vertical="center"/>
    </xf>
    <xf numFmtId="0" fontId="1" fillId="7" borderId="6" xfId="0" applyFont="1" applyFill="1" applyBorder="1" applyAlignment="1">
      <alignment horizontal="left" vertical="center"/>
    </xf>
    <xf numFmtId="0" fontId="7" fillId="0" borderId="0" xfId="0" applyFont="1"/>
    <xf numFmtId="0" fontId="8" fillId="7" borderId="6" xfId="0" applyFont="1" applyFill="1" applyBorder="1" applyAlignment="1">
      <alignment horizontal="left" vertical="center" wrapText="1"/>
    </xf>
    <xf numFmtId="0" fontId="1" fillId="7" borderId="14" xfId="0" applyFont="1" applyFill="1" applyBorder="1" applyAlignment="1">
      <alignment horizontal="center" vertical="center" wrapText="1"/>
    </xf>
    <xf numFmtId="164" fontId="5" fillId="8" borderId="14" xfId="0" applyNumberFormat="1" applyFont="1" applyFill="1" applyBorder="1" applyAlignment="1">
      <alignment horizontal="center" vertical="center" wrapText="1"/>
    </xf>
    <xf numFmtId="164" fontId="5" fillId="8" borderId="14" xfId="0" applyNumberFormat="1" applyFont="1" applyFill="1" applyBorder="1" applyAlignment="1">
      <alignment horizontal="center" vertical="center" wrapText="1"/>
    </xf>
    <xf numFmtId="165" fontId="1" fillId="8" borderId="14" xfId="0" applyNumberFormat="1" applyFont="1" applyFill="1" applyBorder="1" applyAlignment="1">
      <alignment horizontal="right" vertical="center" wrapText="1"/>
    </xf>
    <xf numFmtId="164" fontId="5" fillId="9" borderId="15" xfId="0" applyNumberFormat="1" applyFont="1" applyFill="1" applyBorder="1" applyAlignment="1">
      <alignment horizontal="center" vertical="center"/>
    </xf>
    <xf numFmtId="164" fontId="1" fillId="9" borderId="14" xfId="0" applyNumberFormat="1" applyFont="1" applyFill="1" applyBorder="1" applyAlignment="1">
      <alignment horizontal="center" vertical="center"/>
    </xf>
    <xf numFmtId="164" fontId="1" fillId="9" borderId="14" xfId="0" applyNumberFormat="1" applyFont="1" applyFill="1" applyBorder="1" applyAlignment="1">
      <alignment horizontal="center" vertical="center" wrapText="1"/>
    </xf>
    <xf numFmtId="164" fontId="5" fillId="9" borderId="14" xfId="0" applyNumberFormat="1" applyFont="1" applyFill="1" applyBorder="1" applyAlignment="1">
      <alignment horizontal="center" vertical="center" wrapText="1"/>
    </xf>
    <xf numFmtId="164" fontId="1" fillId="10" borderId="14" xfId="0" applyNumberFormat="1" applyFont="1" applyFill="1" applyBorder="1" applyAlignment="1">
      <alignment horizontal="center" vertical="center"/>
    </xf>
    <xf numFmtId="164" fontId="1" fillId="10" borderId="14" xfId="0" applyNumberFormat="1" applyFont="1" applyFill="1" applyBorder="1" applyAlignment="1">
      <alignment horizontal="center" vertical="center" wrapText="1"/>
    </xf>
    <xf numFmtId="164" fontId="5" fillId="10" borderId="14" xfId="0" applyNumberFormat="1" applyFont="1" applyFill="1" applyBorder="1" applyAlignment="1">
      <alignment horizontal="center" vertical="center" wrapText="1"/>
    </xf>
    <xf numFmtId="164" fontId="5" fillId="10" borderId="14" xfId="0" applyNumberFormat="1" applyFont="1" applyFill="1" applyBorder="1" applyAlignment="1">
      <alignment horizontal="center" vertical="center"/>
    </xf>
    <xf numFmtId="10" fontId="1" fillId="7" borderId="14" xfId="0" applyNumberFormat="1" applyFont="1" applyFill="1" applyBorder="1" applyAlignment="1">
      <alignment horizontal="right" vertical="center" wrapText="1"/>
    </xf>
    <xf numFmtId="10" fontId="1" fillId="7" borderId="14" xfId="0" applyNumberFormat="1" applyFont="1" applyFill="1" applyBorder="1" applyAlignment="1">
      <alignment horizontal="right" vertical="center"/>
    </xf>
    <xf numFmtId="0" fontId="5" fillId="7" borderId="13" xfId="0" applyFont="1" applyFill="1" applyBorder="1" applyAlignment="1">
      <alignment horizontal="center" vertical="center" wrapText="1"/>
    </xf>
    <xf numFmtId="0" fontId="5" fillId="7" borderId="17" xfId="0" applyFont="1" applyFill="1" applyBorder="1" applyAlignment="1">
      <alignment horizontal="center" vertical="center"/>
    </xf>
    <xf numFmtId="0" fontId="1" fillId="7" borderId="13" xfId="0" applyFont="1" applyFill="1" applyBorder="1" applyAlignment="1">
      <alignment horizontal="center" vertical="center"/>
    </xf>
    <xf numFmtId="164" fontId="5" fillId="7" borderId="14" xfId="0" applyNumberFormat="1" applyFont="1" applyFill="1" applyBorder="1" applyAlignment="1">
      <alignment horizontal="right" vertical="center"/>
    </xf>
    <xf numFmtId="10" fontId="1" fillId="8" borderId="14" xfId="0" applyNumberFormat="1" applyFont="1" applyFill="1" applyBorder="1" applyAlignment="1">
      <alignment horizontal="right" vertical="center"/>
    </xf>
    <xf numFmtId="164" fontId="1" fillId="7" borderId="14" xfId="0" applyNumberFormat="1" applyFont="1" applyFill="1" applyBorder="1" applyAlignment="1">
      <alignment horizontal="right" vertical="center"/>
    </xf>
    <xf numFmtId="0" fontId="9" fillId="11" borderId="4" xfId="0" applyFont="1" applyFill="1" applyBorder="1" applyAlignment="1">
      <alignment horizontal="center" vertical="center" wrapText="1"/>
    </xf>
    <xf numFmtId="0" fontId="10" fillId="11" borderId="5" xfId="0" applyFont="1" applyFill="1" applyBorder="1" applyAlignment="1">
      <alignment vertical="center"/>
    </xf>
    <xf numFmtId="0" fontId="10" fillId="11" borderId="6" xfId="0" applyFont="1" applyFill="1" applyBorder="1" applyAlignment="1">
      <alignment vertical="center"/>
    </xf>
    <xf numFmtId="164" fontId="5" fillId="11" borderId="6" xfId="0" applyNumberFormat="1" applyFont="1" applyFill="1" applyBorder="1" applyAlignment="1">
      <alignment horizontal="right" vertical="center"/>
    </xf>
    <xf numFmtId="10" fontId="10" fillId="11" borderId="14" xfId="0" applyNumberFormat="1" applyFont="1" applyFill="1" applyBorder="1" applyAlignment="1">
      <alignment horizontal="right" vertical="center"/>
    </xf>
    <xf numFmtId="164" fontId="10" fillId="11" borderId="6" xfId="0" applyNumberFormat="1" applyFont="1" applyFill="1" applyBorder="1" applyAlignment="1">
      <alignment horizontal="right" vertical="center"/>
    </xf>
    <xf numFmtId="0" fontId="5" fillId="12" borderId="4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/>
    </xf>
    <xf numFmtId="0" fontId="5" fillId="12" borderId="5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vertical="center" wrapText="1"/>
    </xf>
    <xf numFmtId="164" fontId="5" fillId="12" borderId="6" xfId="0" applyNumberFormat="1" applyFont="1" applyFill="1" applyBorder="1" applyAlignment="1">
      <alignment horizontal="right" vertical="center" wrapText="1"/>
    </xf>
    <xf numFmtId="10" fontId="1" fillId="12" borderId="14" xfId="0" applyNumberFormat="1" applyFont="1" applyFill="1" applyBorder="1" applyAlignment="1">
      <alignment horizontal="right" vertical="center" wrapText="1"/>
    </xf>
    <xf numFmtId="10" fontId="1" fillId="12" borderId="14" xfId="0" applyNumberFormat="1" applyFont="1" applyFill="1" applyBorder="1" applyAlignment="1">
      <alignment horizontal="right" vertical="center"/>
    </xf>
    <xf numFmtId="0" fontId="5" fillId="13" borderId="18" xfId="0" applyFont="1" applyFill="1" applyBorder="1" applyAlignment="1">
      <alignment horizontal="center" vertical="center" wrapText="1"/>
    </xf>
    <xf numFmtId="0" fontId="1" fillId="13" borderId="19" xfId="0" applyFont="1" applyFill="1" applyBorder="1" applyAlignment="1">
      <alignment horizontal="center" vertical="center" wrapText="1"/>
    </xf>
    <xf numFmtId="0" fontId="5" fillId="13" borderId="19" xfId="0" applyFont="1" applyFill="1" applyBorder="1" applyAlignment="1">
      <alignment horizontal="center" vertical="center" wrapText="1"/>
    </xf>
    <xf numFmtId="0" fontId="1" fillId="13" borderId="20" xfId="0" applyFont="1" applyFill="1" applyBorder="1" applyAlignment="1">
      <alignment vertical="center" wrapText="1"/>
    </xf>
    <xf numFmtId="164" fontId="5" fillId="13" borderId="6" xfId="0" applyNumberFormat="1" applyFont="1" applyFill="1" applyBorder="1" applyAlignment="1">
      <alignment horizontal="right" vertical="center" wrapText="1"/>
    </xf>
    <xf numFmtId="164" fontId="5" fillId="13" borderId="14" xfId="0" applyNumberFormat="1" applyFont="1" applyFill="1" applyBorder="1" applyAlignment="1">
      <alignment horizontal="right" vertical="center" wrapText="1"/>
    </xf>
    <xf numFmtId="10" fontId="1" fillId="13" borderId="14" xfId="0" applyNumberFormat="1" applyFont="1" applyFill="1" applyBorder="1" applyAlignment="1">
      <alignment horizontal="right" vertical="center" wrapText="1"/>
    </xf>
    <xf numFmtId="164" fontId="5" fillId="13" borderId="14" xfId="0" applyNumberFormat="1" applyFont="1" applyFill="1" applyBorder="1" applyAlignment="1">
      <alignment horizontal="right" vertical="center"/>
    </xf>
    <xf numFmtId="164" fontId="1" fillId="13" borderId="14" xfId="0" applyNumberFormat="1" applyFont="1" applyFill="1" applyBorder="1" applyAlignment="1">
      <alignment horizontal="right" vertical="center"/>
    </xf>
    <xf numFmtId="10" fontId="1" fillId="13" borderId="14" xfId="0" applyNumberFormat="1" applyFont="1" applyFill="1" applyBorder="1" applyAlignment="1">
      <alignment horizontal="right" vertical="center"/>
    </xf>
    <xf numFmtId="0" fontId="1" fillId="0" borderId="0" xfId="0" applyFont="1"/>
    <xf numFmtId="0" fontId="6" fillId="0" borderId="1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16" xfId="0" applyFont="1" applyBorder="1" applyAlignment="1">
      <alignment vertical="center" wrapText="1"/>
    </xf>
    <xf numFmtId="164" fontId="11" fillId="8" borderId="14" xfId="0" applyNumberFormat="1" applyFont="1" applyFill="1" applyBorder="1" applyAlignment="1">
      <alignment horizontal="right" vertical="center" wrapText="1"/>
    </xf>
    <xf numFmtId="164" fontId="6" fillId="8" borderId="14" xfId="0" applyNumberFormat="1" applyFont="1" applyFill="1" applyBorder="1" applyAlignment="1">
      <alignment horizontal="right" vertical="center" wrapText="1"/>
    </xf>
    <xf numFmtId="164" fontId="5" fillId="8" borderId="14" xfId="0" applyNumberFormat="1" applyFont="1" applyFill="1" applyBorder="1" applyAlignment="1">
      <alignment horizontal="right" vertical="center" wrapText="1"/>
    </xf>
    <xf numFmtId="10" fontId="7" fillId="8" borderId="14" xfId="0" applyNumberFormat="1" applyFont="1" applyFill="1" applyBorder="1" applyAlignment="1">
      <alignment horizontal="right" vertical="center" wrapText="1"/>
    </xf>
    <xf numFmtId="164" fontId="6" fillId="0" borderId="14" xfId="0" applyNumberFormat="1" applyFont="1" applyBorder="1" applyAlignment="1">
      <alignment horizontal="right" vertical="center"/>
    </xf>
    <xf numFmtId="164" fontId="7" fillId="8" borderId="14" xfId="0" applyNumberFormat="1" applyFont="1" applyFill="1" applyBorder="1" applyAlignment="1">
      <alignment horizontal="right" vertical="center"/>
    </xf>
    <xf numFmtId="164" fontId="12" fillId="8" borderId="14" xfId="0" applyNumberFormat="1" applyFont="1" applyFill="1" applyBorder="1" applyAlignment="1">
      <alignment horizontal="right" vertical="center"/>
    </xf>
    <xf numFmtId="164" fontId="6" fillId="8" borderId="14" xfId="0" applyNumberFormat="1" applyFont="1" applyFill="1" applyBorder="1" applyAlignment="1">
      <alignment horizontal="right" vertical="center"/>
    </xf>
    <xf numFmtId="10" fontId="7" fillId="8" borderId="14" xfId="0" applyNumberFormat="1" applyFont="1" applyFill="1" applyBorder="1" applyAlignment="1">
      <alignment horizontal="right" vertical="center"/>
    </xf>
    <xf numFmtId="164" fontId="7" fillId="0" borderId="14" xfId="0" applyNumberFormat="1" applyFont="1" applyBorder="1" applyAlignment="1">
      <alignment horizontal="right" vertical="center"/>
    </xf>
    <xf numFmtId="164" fontId="7" fillId="14" borderId="14" xfId="0" applyNumberFormat="1" applyFont="1" applyFill="1" applyBorder="1" applyAlignment="1">
      <alignment horizontal="right" vertical="center"/>
    </xf>
    <xf numFmtId="164" fontId="7" fillId="6" borderId="14" xfId="0" applyNumberFormat="1" applyFont="1" applyFill="1" applyBorder="1" applyAlignment="1">
      <alignment horizontal="right" vertical="center"/>
    </xf>
    <xf numFmtId="0" fontId="6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vertical="center" wrapText="1"/>
    </xf>
    <xf numFmtId="164" fontId="6" fillId="6" borderId="14" xfId="0" applyNumberFormat="1" applyFont="1" applyFill="1" applyBorder="1" applyAlignment="1">
      <alignment horizontal="right" vertical="center"/>
    </xf>
    <xf numFmtId="0" fontId="5" fillId="13" borderId="4" xfId="0" applyFont="1" applyFill="1" applyBorder="1" applyAlignment="1">
      <alignment horizontal="center" vertical="center" wrapText="1"/>
    </xf>
    <xf numFmtId="0" fontId="1" fillId="13" borderId="5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6" fillId="0" borderId="21" xfId="0" applyFont="1" applyBorder="1" applyAlignment="1">
      <alignment vertical="center" wrapText="1"/>
    </xf>
    <xf numFmtId="10" fontId="6" fillId="8" borderId="14" xfId="0" applyNumberFormat="1" applyFont="1" applyFill="1" applyBorder="1" applyAlignment="1">
      <alignment horizontal="right" vertical="center" wrapText="1"/>
    </xf>
    <xf numFmtId="10" fontId="6" fillId="8" borderId="14" xfId="0" applyNumberFormat="1" applyFont="1" applyFill="1" applyBorder="1" applyAlignment="1">
      <alignment horizontal="right" vertical="center"/>
    </xf>
    <xf numFmtId="164" fontId="6" fillId="0" borderId="14" xfId="0" applyNumberFormat="1" applyFont="1" applyBorder="1" applyAlignment="1">
      <alignment horizontal="right" vertical="center"/>
    </xf>
    <xf numFmtId="164" fontId="6" fillId="14" borderId="14" xfId="0" applyNumberFormat="1" applyFont="1" applyFill="1" applyBorder="1" applyAlignment="1">
      <alignment horizontal="right" vertical="center"/>
    </xf>
    <xf numFmtId="164" fontId="6" fillId="14" borderId="14" xfId="0" applyNumberFormat="1" applyFont="1" applyFill="1" applyBorder="1" applyAlignment="1">
      <alignment horizontal="right" vertical="center"/>
    </xf>
    <xf numFmtId="0" fontId="6" fillId="0" borderId="0" xfId="0" applyFont="1"/>
    <xf numFmtId="0" fontId="13" fillId="0" borderId="0" xfId="0" applyFont="1"/>
    <xf numFmtId="165" fontId="9" fillId="11" borderId="4" xfId="0" applyNumberFormat="1" applyFont="1" applyFill="1" applyBorder="1" applyAlignment="1">
      <alignment horizontal="center" vertical="center" wrapText="1"/>
    </xf>
    <xf numFmtId="165" fontId="10" fillId="11" borderId="5" xfId="0" applyNumberFormat="1" applyFont="1" applyFill="1" applyBorder="1" applyAlignment="1">
      <alignment horizontal="left" vertical="center"/>
    </xf>
    <xf numFmtId="165" fontId="10" fillId="11" borderId="5" xfId="0" applyNumberFormat="1" applyFont="1" applyFill="1" applyBorder="1" applyAlignment="1">
      <alignment horizontal="center" vertical="center"/>
    </xf>
    <xf numFmtId="165" fontId="10" fillId="11" borderId="6" xfId="0" applyNumberFormat="1" applyFont="1" applyFill="1" applyBorder="1" applyAlignment="1">
      <alignment horizontal="center" vertical="center"/>
    </xf>
    <xf numFmtId="10" fontId="10" fillId="11" borderId="14" xfId="0" applyNumberFormat="1" applyFont="1" applyFill="1" applyBorder="1" applyAlignment="1">
      <alignment horizontal="right" vertical="center" wrapText="1"/>
    </xf>
    <xf numFmtId="0" fontId="5" fillId="13" borderId="20" xfId="0" applyFont="1" applyFill="1" applyBorder="1" applyAlignment="1">
      <alignment vertical="center" wrapText="1"/>
    </xf>
    <xf numFmtId="10" fontId="5" fillId="13" borderId="14" xfId="0" applyNumberFormat="1" applyFont="1" applyFill="1" applyBorder="1" applyAlignment="1">
      <alignment horizontal="right" vertical="center" wrapText="1"/>
    </xf>
    <xf numFmtId="10" fontId="5" fillId="13" borderId="14" xfId="0" applyNumberFormat="1" applyFont="1" applyFill="1" applyBorder="1" applyAlignment="1">
      <alignment horizontal="right" vertical="center"/>
    </xf>
    <xf numFmtId="0" fontId="5" fillId="0" borderId="0" xfId="0" applyFont="1"/>
    <xf numFmtId="164" fontId="6" fillId="8" borderId="14" xfId="0" applyNumberFormat="1" applyFont="1" applyFill="1" applyBorder="1" applyAlignment="1">
      <alignment horizontal="right" vertical="center" wrapText="1"/>
    </xf>
    <xf numFmtId="164" fontId="7" fillId="0" borderId="14" xfId="0" applyNumberFormat="1" applyFont="1" applyBorder="1" applyAlignment="1">
      <alignment horizontal="right" vertical="center"/>
    </xf>
    <xf numFmtId="0" fontId="5" fillId="13" borderId="6" xfId="0" applyFont="1" applyFill="1" applyBorder="1" applyAlignment="1">
      <alignment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164" fontId="11" fillId="8" borderId="22" xfId="0" applyNumberFormat="1" applyFont="1" applyFill="1" applyBorder="1" applyAlignment="1">
      <alignment horizontal="right" vertical="center" wrapText="1"/>
    </xf>
    <xf numFmtId="164" fontId="6" fillId="8" borderId="22" xfId="0" applyNumberFormat="1" applyFont="1" applyFill="1" applyBorder="1" applyAlignment="1">
      <alignment horizontal="right" vertical="center" wrapText="1"/>
    </xf>
    <xf numFmtId="164" fontId="6" fillId="8" borderId="22" xfId="0" applyNumberFormat="1" applyFont="1" applyFill="1" applyBorder="1" applyAlignment="1">
      <alignment horizontal="right" vertical="center"/>
    </xf>
    <xf numFmtId="164" fontId="7" fillId="8" borderId="22" xfId="0" applyNumberFormat="1" applyFont="1" applyFill="1" applyBorder="1" applyAlignment="1">
      <alignment horizontal="right" vertical="center"/>
    </xf>
    <xf numFmtId="164" fontId="7" fillId="0" borderId="16" xfId="0" applyNumberFormat="1" applyFont="1" applyBorder="1" applyAlignment="1">
      <alignment horizontal="right" vertical="center"/>
    </xf>
    <xf numFmtId="164" fontId="7" fillId="14" borderId="22" xfId="0" applyNumberFormat="1" applyFont="1" applyFill="1" applyBorder="1" applyAlignment="1">
      <alignment horizontal="right" vertical="center"/>
    </xf>
    <xf numFmtId="164" fontId="7" fillId="14" borderId="14" xfId="0" applyNumberFormat="1" applyFont="1" applyFill="1" applyBorder="1" applyAlignment="1">
      <alignment horizontal="right" vertical="center"/>
    </xf>
    <xf numFmtId="0" fontId="7" fillId="0" borderId="16" xfId="0" applyFont="1" applyBorder="1" applyAlignment="1">
      <alignment horizontal="left" vertical="center" wrapText="1"/>
    </xf>
    <xf numFmtId="0" fontId="6" fillId="0" borderId="14" xfId="0" applyFont="1" applyBorder="1" applyAlignment="1">
      <alignment vertical="center" wrapText="1"/>
    </xf>
    <xf numFmtId="164" fontId="14" fillId="8" borderId="14" xfId="0" applyNumberFormat="1" applyFont="1" applyFill="1" applyBorder="1" applyAlignment="1">
      <alignment horizontal="right" vertical="center"/>
    </xf>
    <xf numFmtId="164" fontId="6" fillId="6" borderId="14" xfId="0" applyNumberFormat="1" applyFont="1" applyFill="1" applyBorder="1" applyAlignment="1">
      <alignment horizontal="right" vertical="center"/>
    </xf>
    <xf numFmtId="0" fontId="7" fillId="0" borderId="14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center"/>
    </xf>
    <xf numFmtId="0" fontId="7" fillId="0" borderId="14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wrapText="1"/>
    </xf>
    <xf numFmtId="0" fontId="7" fillId="0" borderId="14" xfId="0" applyFont="1" applyBorder="1" applyAlignment="1">
      <alignment horizontal="left" vertical="center" wrapText="1"/>
    </xf>
    <xf numFmtId="164" fontId="11" fillId="8" borderId="6" xfId="0" applyNumberFormat="1" applyFont="1" applyFill="1" applyBorder="1" applyAlignment="1">
      <alignment horizontal="right" wrapText="1"/>
    </xf>
    <xf numFmtId="164" fontId="6" fillId="8" borderId="6" xfId="0" applyNumberFormat="1" applyFont="1" applyFill="1" applyBorder="1" applyAlignment="1"/>
    <xf numFmtId="164" fontId="6" fillId="8" borderId="6" xfId="0" applyNumberFormat="1" applyFont="1" applyFill="1" applyBorder="1" applyAlignment="1">
      <alignment horizontal="right" wrapText="1"/>
    </xf>
    <xf numFmtId="164" fontId="6" fillId="8" borderId="6" xfId="0" applyNumberFormat="1" applyFont="1" applyFill="1" applyBorder="1" applyAlignment="1">
      <alignment horizontal="right" wrapText="1"/>
    </xf>
    <xf numFmtId="10" fontId="7" fillId="8" borderId="6" xfId="0" applyNumberFormat="1" applyFont="1" applyFill="1" applyBorder="1" applyAlignment="1">
      <alignment horizontal="right" wrapText="1"/>
    </xf>
    <xf numFmtId="164" fontId="7" fillId="0" borderId="6" xfId="0" applyNumberFormat="1" applyFont="1" applyBorder="1" applyAlignment="1">
      <alignment horizontal="right"/>
    </xf>
    <xf numFmtId="164" fontId="6" fillId="0" borderId="6" xfId="0" applyNumberFormat="1" applyFont="1" applyBorder="1" applyAlignment="1">
      <alignment horizontal="right"/>
    </xf>
    <xf numFmtId="164" fontId="7" fillId="0" borderId="6" xfId="0" applyNumberFormat="1" applyFont="1" applyBorder="1" applyAlignment="1"/>
    <xf numFmtId="164" fontId="7" fillId="0" borderId="6" xfId="0" applyNumberFormat="1" applyFont="1" applyBorder="1" applyAlignment="1">
      <alignment horizontal="right"/>
    </xf>
    <xf numFmtId="164" fontId="7" fillId="0" borderId="6" xfId="0" applyNumberFormat="1" applyFont="1" applyBorder="1"/>
    <xf numFmtId="164" fontId="7" fillId="6" borderId="6" xfId="0" applyNumberFormat="1" applyFont="1" applyFill="1" applyBorder="1"/>
    <xf numFmtId="0" fontId="7" fillId="0" borderId="0" xfId="0" applyFont="1" applyAlignment="1"/>
    <xf numFmtId="0" fontId="7" fillId="0" borderId="14" xfId="0" applyFont="1" applyBorder="1" applyAlignment="1"/>
    <xf numFmtId="0" fontId="7" fillId="0" borderId="6" xfId="0" applyFont="1" applyBorder="1" applyAlignment="1">
      <alignment wrapText="1"/>
    </xf>
    <xf numFmtId="164" fontId="6" fillId="0" borderId="6" xfId="0" applyNumberFormat="1" applyFont="1" applyBorder="1" applyAlignment="1">
      <alignment horizontal="right"/>
    </xf>
    <xf numFmtId="164" fontId="7" fillId="8" borderId="6" xfId="0" applyNumberFormat="1" applyFont="1" applyFill="1" applyBorder="1" applyAlignment="1">
      <alignment horizontal="right"/>
    </xf>
    <xf numFmtId="164" fontId="6" fillId="8" borderId="6" xfId="0" applyNumberFormat="1" applyFont="1" applyFill="1" applyBorder="1" applyAlignment="1">
      <alignment horizontal="right"/>
    </xf>
    <xf numFmtId="10" fontId="7" fillId="8" borderId="6" xfId="0" applyNumberFormat="1" applyFont="1" applyFill="1" applyBorder="1" applyAlignment="1">
      <alignment horizontal="right"/>
    </xf>
    <xf numFmtId="164" fontId="15" fillId="0" borderId="6" xfId="0" applyNumberFormat="1" applyFont="1" applyBorder="1" applyAlignment="1">
      <alignment horizontal="right"/>
    </xf>
    <xf numFmtId="164" fontId="7" fillId="6" borderId="6" xfId="0" applyNumberFormat="1" applyFont="1" applyFill="1" applyBorder="1" applyAlignment="1">
      <alignment horizontal="right"/>
    </xf>
    <xf numFmtId="0" fontId="7" fillId="0" borderId="16" xfId="0" applyFont="1" applyBorder="1" applyAlignment="1"/>
    <xf numFmtId="0" fontId="7" fillId="0" borderId="20" xfId="0" applyFont="1" applyBorder="1" applyAlignment="1">
      <alignment horizontal="center" wrapText="1"/>
    </xf>
    <xf numFmtId="164" fontId="11" fillId="8" borderId="20" xfId="0" applyNumberFormat="1" applyFont="1" applyFill="1" applyBorder="1" applyAlignment="1">
      <alignment horizontal="right" wrapText="1"/>
    </xf>
    <xf numFmtId="164" fontId="6" fillId="8" borderId="20" xfId="0" applyNumberFormat="1" applyFont="1" applyFill="1" applyBorder="1" applyAlignment="1"/>
    <xf numFmtId="164" fontId="6" fillId="8" borderId="20" xfId="0" applyNumberFormat="1" applyFont="1" applyFill="1" applyBorder="1" applyAlignment="1">
      <alignment horizontal="right" wrapText="1"/>
    </xf>
    <xf numFmtId="164" fontId="6" fillId="8" borderId="20" xfId="0" applyNumberFormat="1" applyFont="1" applyFill="1" applyBorder="1" applyAlignment="1">
      <alignment horizontal="right" wrapText="1"/>
    </xf>
    <xf numFmtId="10" fontId="7" fillId="8" borderId="20" xfId="0" applyNumberFormat="1" applyFont="1" applyFill="1" applyBorder="1" applyAlignment="1">
      <alignment horizontal="right" wrapText="1"/>
    </xf>
    <xf numFmtId="164" fontId="7" fillId="0" borderId="20" xfId="0" applyNumberFormat="1" applyFont="1" applyBorder="1" applyAlignment="1">
      <alignment horizontal="right"/>
    </xf>
    <xf numFmtId="164" fontId="6" fillId="0" borderId="20" xfId="0" applyNumberFormat="1" applyFont="1" applyBorder="1" applyAlignment="1">
      <alignment horizontal="right"/>
    </xf>
    <xf numFmtId="164" fontId="7" fillId="0" borderId="20" xfId="0" applyNumberFormat="1" applyFont="1" applyBorder="1" applyAlignment="1"/>
    <xf numFmtId="164" fontId="7" fillId="8" borderId="20" xfId="0" applyNumberFormat="1" applyFont="1" applyFill="1" applyBorder="1" applyAlignment="1">
      <alignment horizontal="right"/>
    </xf>
    <xf numFmtId="164" fontId="6" fillId="8" borderId="20" xfId="0" applyNumberFormat="1" applyFont="1" applyFill="1" applyBorder="1" applyAlignment="1">
      <alignment horizontal="right"/>
    </xf>
    <xf numFmtId="10" fontId="7" fillId="8" borderId="20" xfId="0" applyNumberFormat="1" applyFont="1" applyFill="1" applyBorder="1" applyAlignment="1">
      <alignment horizontal="right"/>
    </xf>
    <xf numFmtId="164" fontId="7" fillId="0" borderId="20" xfId="0" applyNumberFormat="1" applyFont="1" applyBorder="1"/>
    <xf numFmtId="164" fontId="7" fillId="6" borderId="20" xfId="0" applyNumberFormat="1" applyFont="1" applyFill="1" applyBorder="1"/>
    <xf numFmtId="164" fontId="15" fillId="0" borderId="20" xfId="0" applyNumberFormat="1" applyFont="1" applyBorder="1" applyAlignment="1">
      <alignment horizontal="right"/>
    </xf>
    <xf numFmtId="164" fontId="7" fillId="6" borderId="20" xfId="0" applyNumberFormat="1" applyFont="1" applyFill="1" applyBorder="1" applyAlignment="1">
      <alignment horizontal="right"/>
    </xf>
    <xf numFmtId="164" fontId="11" fillId="8" borderId="6" xfId="0" applyNumberFormat="1" applyFont="1" applyFill="1" applyBorder="1" applyAlignment="1">
      <alignment horizontal="right" wrapText="1"/>
    </xf>
    <xf numFmtId="164" fontId="11" fillId="8" borderId="20" xfId="0" applyNumberFormat="1" applyFont="1" applyFill="1" applyBorder="1" applyAlignment="1">
      <alignment horizontal="right" wrapText="1"/>
    </xf>
    <xf numFmtId="0" fontId="7" fillId="0" borderId="20" xfId="0" applyFont="1" applyBorder="1" applyAlignment="1">
      <alignment wrapText="1"/>
    </xf>
    <xf numFmtId="164" fontId="6" fillId="8" borderId="20" xfId="0" applyNumberFormat="1" applyFont="1" applyFill="1" applyBorder="1"/>
    <xf numFmtId="164" fontId="7" fillId="6" borderId="20" xfId="0" applyNumberFormat="1" applyFont="1" applyFill="1" applyBorder="1" applyAlignment="1"/>
    <xf numFmtId="0" fontId="1" fillId="0" borderId="16" xfId="0" applyFont="1" applyBorder="1" applyAlignment="1">
      <alignment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64" fontId="15" fillId="8" borderId="14" xfId="0" applyNumberFormat="1" applyFont="1" applyFill="1" applyBorder="1" applyAlignment="1">
      <alignment horizontal="right" vertical="center"/>
    </xf>
    <xf numFmtId="0" fontId="7" fillId="6" borderId="14" xfId="0" applyFont="1" applyFill="1" applyBorder="1" applyAlignment="1">
      <alignment vertical="center" wrapText="1"/>
    </xf>
    <xf numFmtId="164" fontId="7" fillId="0" borderId="16" xfId="0" applyNumberFormat="1" applyFont="1" applyBorder="1" applyAlignment="1">
      <alignment horizontal="right" vertical="center"/>
    </xf>
    <xf numFmtId="0" fontId="6" fillId="0" borderId="14" xfId="0" applyFont="1" applyBorder="1" applyAlignment="1">
      <alignment horizontal="center"/>
    </xf>
    <xf numFmtId="0" fontId="7" fillId="6" borderId="14" xfId="0" applyFont="1" applyFill="1" applyBorder="1" applyAlignment="1">
      <alignment vertical="center" wrapText="1"/>
    </xf>
    <xf numFmtId="0" fontId="7" fillId="6" borderId="14" xfId="0" applyFont="1" applyFill="1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164" fontId="6" fillId="0" borderId="16" xfId="0" applyNumberFormat="1" applyFont="1" applyBorder="1" applyAlignment="1">
      <alignment horizontal="right" vertical="center"/>
    </xf>
    <xf numFmtId="0" fontId="7" fillId="0" borderId="16" xfId="0" applyFont="1" applyBorder="1" applyAlignment="1">
      <alignment horizontal="center" vertical="center" wrapText="1"/>
    </xf>
    <xf numFmtId="164" fontId="6" fillId="6" borderId="16" xfId="0" applyNumberFormat="1" applyFont="1" applyFill="1" applyBorder="1" applyAlignment="1">
      <alignment horizontal="right" vertical="center"/>
    </xf>
    <xf numFmtId="0" fontId="6" fillId="6" borderId="22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164" fontId="6" fillId="8" borderId="15" xfId="0" applyNumberFormat="1" applyFont="1" applyFill="1" applyBorder="1" applyAlignment="1">
      <alignment horizontal="right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164" fontId="11" fillId="8" borderId="23" xfId="0" applyNumberFormat="1" applyFont="1" applyFill="1" applyBorder="1" applyAlignment="1">
      <alignment horizontal="right" vertical="center" wrapText="1"/>
    </xf>
    <xf numFmtId="164" fontId="6" fillId="8" borderId="23" xfId="0" applyNumberFormat="1" applyFont="1" applyFill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164" fontId="11" fillId="8" borderId="20" xfId="0" applyNumberFormat="1" applyFont="1" applyFill="1" applyBorder="1" applyAlignment="1">
      <alignment horizontal="right" vertical="center" wrapText="1"/>
    </xf>
    <xf numFmtId="0" fontId="6" fillId="0" borderId="16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6" fillId="0" borderId="24" xfId="0" applyFont="1" applyBorder="1" applyAlignment="1">
      <alignment horizontal="center" vertical="center" wrapText="1"/>
    </xf>
    <xf numFmtId="0" fontId="7" fillId="0" borderId="24" xfId="0" applyFont="1" applyBorder="1" applyAlignment="1">
      <alignment vertical="center" wrapText="1"/>
    </xf>
    <xf numFmtId="164" fontId="11" fillId="8" borderId="15" xfId="0" applyNumberFormat="1" applyFont="1" applyFill="1" applyBorder="1" applyAlignment="1">
      <alignment horizontal="right" vertical="center" wrapText="1"/>
    </xf>
    <xf numFmtId="164" fontId="15" fillId="14" borderId="14" xfId="0" applyNumberFormat="1" applyFont="1" applyFill="1" applyBorder="1" applyAlignment="1">
      <alignment horizontal="right" vertical="center"/>
    </xf>
    <xf numFmtId="0" fontId="7" fillId="0" borderId="25" xfId="0" applyFont="1" applyBorder="1" applyAlignment="1">
      <alignment horizontal="center" vertical="center"/>
    </xf>
    <xf numFmtId="0" fontId="7" fillId="0" borderId="24" xfId="0" applyFont="1" applyBorder="1" applyAlignment="1">
      <alignment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6" fillId="0" borderId="16" xfId="0" applyFont="1" applyBorder="1" applyAlignment="1">
      <alignment vertical="center" wrapText="1"/>
    </xf>
    <xf numFmtId="0" fontId="7" fillId="0" borderId="0" xfId="0" applyFont="1" applyAlignment="1">
      <alignment horizontal="center"/>
    </xf>
    <xf numFmtId="0" fontId="7" fillId="0" borderId="24" xfId="0" applyFont="1" applyBorder="1" applyAlignment="1">
      <alignment horizontal="center" vertical="center" wrapText="1"/>
    </xf>
    <xf numFmtId="164" fontId="5" fillId="8" borderId="14" xfId="0" applyNumberFormat="1" applyFont="1" applyFill="1" applyBorder="1" applyAlignment="1">
      <alignment horizontal="right" vertical="center"/>
    </xf>
    <xf numFmtId="0" fontId="5" fillId="15" borderId="18" xfId="0" applyFont="1" applyFill="1" applyBorder="1" applyAlignment="1">
      <alignment horizontal="center" vertical="center" wrapText="1"/>
    </xf>
    <xf numFmtId="0" fontId="1" fillId="15" borderId="19" xfId="0" applyFont="1" applyFill="1" applyBorder="1" applyAlignment="1">
      <alignment horizontal="center" vertical="center" wrapText="1"/>
    </xf>
    <xf numFmtId="0" fontId="5" fillId="15" borderId="19" xfId="0" applyFont="1" applyFill="1" applyBorder="1" applyAlignment="1">
      <alignment horizontal="center" vertical="center" wrapText="1"/>
    </xf>
    <xf numFmtId="0" fontId="1" fillId="15" borderId="20" xfId="0" applyFont="1" applyFill="1" applyBorder="1" applyAlignment="1">
      <alignment vertical="center" wrapText="1"/>
    </xf>
    <xf numFmtId="164" fontId="5" fillId="15" borderId="6" xfId="0" applyNumberFormat="1" applyFont="1" applyFill="1" applyBorder="1" applyAlignment="1">
      <alignment horizontal="right" vertical="center" wrapText="1"/>
    </xf>
    <xf numFmtId="164" fontId="5" fillId="15" borderId="14" xfId="0" applyNumberFormat="1" applyFont="1" applyFill="1" applyBorder="1" applyAlignment="1">
      <alignment horizontal="right" vertical="center" wrapText="1"/>
    </xf>
    <xf numFmtId="10" fontId="1" fillId="15" borderId="14" xfId="0" applyNumberFormat="1" applyFont="1" applyFill="1" applyBorder="1" applyAlignment="1">
      <alignment horizontal="right" vertical="center" wrapText="1"/>
    </xf>
    <xf numFmtId="10" fontId="1" fillId="15" borderId="14" xfId="0" applyNumberFormat="1" applyFont="1" applyFill="1" applyBorder="1" applyAlignment="1">
      <alignment horizontal="right" vertical="center"/>
    </xf>
    <xf numFmtId="0" fontId="5" fillId="15" borderId="4" xfId="0" applyFont="1" applyFill="1" applyBorder="1" applyAlignment="1">
      <alignment horizontal="center" vertical="center" wrapText="1"/>
    </xf>
    <xf numFmtId="0" fontId="1" fillId="15" borderId="5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vertical="center" wrapText="1"/>
    </xf>
    <xf numFmtId="0" fontId="6" fillId="0" borderId="14" xfId="0" applyFont="1" applyBorder="1" applyAlignment="1">
      <alignment horizontal="center" vertical="center"/>
    </xf>
    <xf numFmtId="164" fontId="16" fillId="8" borderId="14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vertical="center"/>
    </xf>
    <xf numFmtId="164" fontId="5" fillId="0" borderId="6" xfId="0" applyNumberFormat="1" applyFont="1" applyBorder="1" applyAlignment="1">
      <alignment horizontal="right" vertical="center"/>
    </xf>
    <xf numFmtId="10" fontId="10" fillId="0" borderId="14" xfId="0" applyNumberFormat="1" applyFont="1" applyBorder="1" applyAlignment="1">
      <alignment horizontal="right" vertical="center" wrapText="1"/>
    </xf>
    <xf numFmtId="164" fontId="10" fillId="0" borderId="6" xfId="0" applyNumberFormat="1" applyFont="1" applyBorder="1" applyAlignment="1">
      <alignment horizontal="right" vertical="center"/>
    </xf>
    <xf numFmtId="10" fontId="10" fillId="0" borderId="14" xfId="0" applyNumberFormat="1" applyFont="1" applyBorder="1" applyAlignment="1">
      <alignment horizontal="right" vertical="center"/>
    </xf>
    <xf numFmtId="0" fontId="10" fillId="11" borderId="5" xfId="0" applyFont="1" applyFill="1" applyBorder="1" applyAlignment="1">
      <alignment horizontal="left" vertical="center"/>
    </xf>
    <xf numFmtId="0" fontId="5" fillId="12" borderId="26" xfId="0" applyFont="1" applyFill="1" applyBorder="1" applyAlignment="1">
      <alignment horizontal="center" vertical="center" wrapText="1"/>
    </xf>
    <xf numFmtId="0" fontId="1" fillId="12" borderId="0" xfId="0" applyFont="1" applyFill="1" applyAlignment="1">
      <alignment horizontal="center" vertical="center"/>
    </xf>
    <xf numFmtId="0" fontId="5" fillId="12" borderId="0" xfId="0" applyFont="1" applyFill="1" applyAlignment="1">
      <alignment horizontal="center" vertical="center" wrapText="1"/>
    </xf>
    <xf numFmtId="0" fontId="1" fillId="12" borderId="25" xfId="0" applyFont="1" applyFill="1" applyBorder="1" applyAlignment="1">
      <alignment vertical="center" wrapText="1"/>
    </xf>
    <xf numFmtId="164" fontId="1" fillId="0" borderId="14" xfId="0" applyNumberFormat="1" applyFont="1" applyBorder="1" applyAlignment="1">
      <alignment horizontal="right" vertical="center"/>
    </xf>
    <xf numFmtId="0" fontId="6" fillId="14" borderId="13" xfId="0" applyFont="1" applyFill="1" applyBorder="1" applyAlignment="1">
      <alignment horizontal="center" vertical="center" wrapText="1"/>
    </xf>
    <xf numFmtId="0" fontId="7" fillId="14" borderId="13" xfId="0" applyFont="1" applyFill="1" applyBorder="1" applyAlignment="1">
      <alignment horizontal="center" vertical="center"/>
    </xf>
    <xf numFmtId="0" fontId="7" fillId="0" borderId="13" xfId="0" applyFont="1" applyBorder="1" applyAlignment="1">
      <alignment vertical="center" wrapText="1"/>
    </xf>
    <xf numFmtId="164" fontId="1" fillId="14" borderId="14" xfId="0" applyNumberFormat="1" applyFont="1" applyFill="1" applyBorder="1" applyAlignment="1">
      <alignment horizontal="right" vertical="center" wrapText="1"/>
    </xf>
    <xf numFmtId="0" fontId="7" fillId="14" borderId="15" xfId="0" applyFont="1" applyFill="1" applyBorder="1" applyAlignment="1">
      <alignment horizontal="center" vertical="center" wrapText="1"/>
    </xf>
    <xf numFmtId="0" fontId="7" fillId="14" borderId="14" xfId="0" applyFont="1" applyFill="1" applyBorder="1" applyAlignment="1">
      <alignment vertical="center" wrapText="1"/>
    </xf>
    <xf numFmtId="164" fontId="7" fillId="14" borderId="14" xfId="0" applyNumberFormat="1" applyFont="1" applyFill="1" applyBorder="1" applyAlignment="1">
      <alignment horizontal="right" vertical="center" wrapText="1"/>
    </xf>
    <xf numFmtId="164" fontId="6" fillId="14" borderId="14" xfId="0" applyNumberFormat="1" applyFont="1" applyFill="1" applyBorder="1" applyAlignment="1">
      <alignment horizontal="right" vertical="center" wrapText="1"/>
    </xf>
    <xf numFmtId="0" fontId="7" fillId="14" borderId="14" xfId="0" applyFont="1" applyFill="1" applyBorder="1" applyAlignment="1">
      <alignment horizontal="center" vertical="center" wrapText="1"/>
    </xf>
    <xf numFmtId="164" fontId="17" fillId="14" borderId="14" xfId="0" applyNumberFormat="1" applyFont="1" applyFill="1" applyBorder="1" applyAlignment="1">
      <alignment horizontal="right" vertical="center"/>
    </xf>
    <xf numFmtId="0" fontId="5" fillId="12" borderId="27" xfId="0" applyFont="1" applyFill="1" applyBorder="1" applyAlignment="1">
      <alignment horizontal="center" vertical="center" wrapText="1"/>
    </xf>
    <xf numFmtId="0" fontId="1" fillId="12" borderId="28" xfId="0" applyFont="1" applyFill="1" applyBorder="1" applyAlignment="1">
      <alignment horizontal="center" vertical="center"/>
    </xf>
    <xf numFmtId="0" fontId="5" fillId="12" borderId="28" xfId="0" applyFont="1" applyFill="1" applyBorder="1" applyAlignment="1">
      <alignment horizontal="center" vertical="center" wrapText="1"/>
    </xf>
    <xf numFmtId="0" fontId="1" fillId="12" borderId="24" xfId="0" applyFont="1" applyFill="1" applyBorder="1" applyAlignment="1">
      <alignment vertical="center" wrapText="1"/>
    </xf>
    <xf numFmtId="164" fontId="5" fillId="12" borderId="14" xfId="0" applyNumberFormat="1" applyFont="1" applyFill="1" applyBorder="1" applyAlignment="1">
      <alignment horizontal="right" vertical="center" wrapText="1"/>
    </xf>
    <xf numFmtId="0" fontId="7" fillId="0" borderId="21" xfId="0" applyFont="1" applyBorder="1" applyAlignment="1">
      <alignment horizontal="center" vertical="center"/>
    </xf>
    <xf numFmtId="0" fontId="7" fillId="0" borderId="21" xfId="0" applyFont="1" applyBorder="1" applyAlignment="1">
      <alignment vertical="center" wrapText="1"/>
    </xf>
    <xf numFmtId="0" fontId="1" fillId="13" borderId="5" xfId="0" applyFont="1" applyFill="1" applyBorder="1" applyAlignment="1">
      <alignment horizontal="center" vertical="center"/>
    </xf>
    <xf numFmtId="164" fontId="1" fillId="13" borderId="14" xfId="0" applyNumberFormat="1" applyFont="1" applyFill="1" applyBorder="1" applyAlignment="1">
      <alignment horizontal="right" vertical="center" wrapText="1"/>
    </xf>
    <xf numFmtId="0" fontId="6" fillId="14" borderId="21" xfId="0" applyFont="1" applyFill="1" applyBorder="1" applyAlignment="1">
      <alignment horizontal="center" vertical="center" wrapText="1"/>
    </xf>
    <xf numFmtId="0" fontId="7" fillId="14" borderId="21" xfId="0" applyFont="1" applyFill="1" applyBorder="1" applyAlignment="1">
      <alignment horizontal="center" vertical="center"/>
    </xf>
    <xf numFmtId="0" fontId="1" fillId="12" borderId="27" xfId="0" applyFont="1" applyFill="1" applyBorder="1" applyAlignment="1">
      <alignment horizontal="center" vertical="center" wrapText="1"/>
    </xf>
    <xf numFmtId="0" fontId="6" fillId="13" borderId="4" xfId="0" applyFont="1" applyFill="1" applyBorder="1" applyAlignment="1">
      <alignment horizontal="center" vertical="center" wrapText="1"/>
    </xf>
    <xf numFmtId="0" fontId="7" fillId="13" borderId="5" xfId="0" applyFont="1" applyFill="1" applyBorder="1" applyAlignment="1">
      <alignment horizontal="center" vertical="center" wrapText="1"/>
    </xf>
    <xf numFmtId="0" fontId="6" fillId="13" borderId="5" xfId="0" applyFont="1" applyFill="1" applyBorder="1" applyAlignment="1">
      <alignment horizontal="center" vertical="center" wrapText="1"/>
    </xf>
    <xf numFmtId="0" fontId="7" fillId="6" borderId="21" xfId="0" applyFont="1" applyFill="1" applyBorder="1" applyAlignment="1">
      <alignment vertical="center" wrapText="1"/>
    </xf>
    <xf numFmtId="0" fontId="7" fillId="0" borderId="2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right" vertical="center"/>
    </xf>
    <xf numFmtId="0" fontId="5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164" fontId="6" fillId="13" borderId="6" xfId="0" applyNumberFormat="1" applyFont="1" applyFill="1" applyBorder="1" applyAlignment="1">
      <alignment horizontal="right" vertical="center" wrapText="1"/>
    </xf>
    <xf numFmtId="10" fontId="7" fillId="13" borderId="14" xfId="0" applyNumberFormat="1" applyFont="1" applyFill="1" applyBorder="1" applyAlignment="1">
      <alignment horizontal="right" vertical="center" wrapText="1"/>
    </xf>
    <xf numFmtId="10" fontId="7" fillId="13" borderId="14" xfId="0" applyNumberFormat="1" applyFont="1" applyFill="1" applyBorder="1" applyAlignment="1">
      <alignment horizontal="right" vertical="center"/>
    </xf>
    <xf numFmtId="0" fontId="5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6" fillId="0" borderId="6" xfId="0" applyFont="1" applyBorder="1"/>
    <xf numFmtId="0" fontId="6" fillId="14" borderId="14" xfId="0" applyFont="1" applyFill="1" applyBorder="1" applyAlignment="1">
      <alignment horizontal="center" vertical="center" wrapText="1"/>
    </xf>
    <xf numFmtId="0" fontId="7" fillId="14" borderId="14" xfId="0" applyFont="1" applyFill="1" applyBorder="1" applyAlignment="1">
      <alignment horizontal="center" vertical="center"/>
    </xf>
    <xf numFmtId="0" fontId="7" fillId="14" borderId="13" xfId="0" applyFont="1" applyFill="1" applyBorder="1" applyAlignment="1">
      <alignment vertical="center" wrapText="1"/>
    </xf>
    <xf numFmtId="0" fontId="6" fillId="14" borderId="29" xfId="0" applyFont="1" applyFill="1" applyBorder="1" applyAlignment="1">
      <alignment horizontal="center" vertical="center" wrapText="1"/>
    </xf>
    <xf numFmtId="164" fontId="7" fillId="14" borderId="14" xfId="0" applyNumberFormat="1" applyFont="1" applyFill="1" applyBorder="1" applyAlignment="1">
      <alignment horizontal="right" vertical="center" wrapText="1"/>
    </xf>
    <xf numFmtId="0" fontId="1" fillId="13" borderId="6" xfId="0" applyFont="1" applyFill="1" applyBorder="1" applyAlignment="1">
      <alignment vertical="center" wrapText="1"/>
    </xf>
    <xf numFmtId="0" fontId="7" fillId="14" borderId="14" xfId="0" applyFont="1" applyFill="1" applyBorder="1" applyAlignment="1">
      <alignment vertical="center" wrapText="1"/>
    </xf>
    <xf numFmtId="0" fontId="7" fillId="14" borderId="16" xfId="0" applyFont="1" applyFill="1" applyBorder="1" applyAlignment="1">
      <alignment horizontal="center" vertical="center"/>
    </xf>
    <xf numFmtId="0" fontId="18" fillId="6" borderId="0" xfId="0" applyFont="1" applyFill="1" applyAlignment="1"/>
    <xf numFmtId="0" fontId="18" fillId="6" borderId="14" xfId="0" applyFont="1" applyFill="1" applyBorder="1"/>
    <xf numFmtId="0" fontId="10" fillId="0" borderId="27" xfId="0" applyFont="1" applyBorder="1" applyAlignment="1">
      <alignment horizontal="center" vertical="center" wrapText="1"/>
    </xf>
    <xf numFmtId="0" fontId="10" fillId="0" borderId="28" xfId="0" applyFont="1" applyBorder="1" applyAlignment="1">
      <alignment vertical="center"/>
    </xf>
    <xf numFmtId="0" fontId="10" fillId="0" borderId="28" xfId="0" applyFont="1" applyBorder="1" applyAlignment="1">
      <alignment horizontal="left" vertical="center"/>
    </xf>
    <xf numFmtId="0" fontId="10" fillId="0" borderId="24" xfId="0" applyFont="1" applyBorder="1" applyAlignment="1">
      <alignment vertical="center"/>
    </xf>
    <xf numFmtId="164" fontId="5" fillId="0" borderId="14" xfId="0" applyNumberFormat="1" applyFont="1" applyBorder="1" applyAlignment="1">
      <alignment horizontal="right" vertical="center"/>
    </xf>
    <xf numFmtId="164" fontId="10" fillId="0" borderId="14" xfId="0" applyNumberFormat="1" applyFont="1" applyBorder="1" applyAlignment="1">
      <alignment horizontal="right" vertical="center"/>
    </xf>
    <xf numFmtId="0" fontId="9" fillId="11" borderId="27" xfId="0" applyFont="1" applyFill="1" applyBorder="1" applyAlignment="1">
      <alignment horizontal="center" vertical="center" wrapText="1"/>
    </xf>
    <xf numFmtId="0" fontId="10" fillId="11" borderId="28" xfId="0" applyFont="1" applyFill="1" applyBorder="1" applyAlignment="1">
      <alignment vertical="center"/>
    </xf>
    <xf numFmtId="0" fontId="10" fillId="11" borderId="28" xfId="0" applyFont="1" applyFill="1" applyBorder="1" applyAlignment="1">
      <alignment horizontal="left" vertical="center"/>
    </xf>
    <xf numFmtId="0" fontId="10" fillId="11" borderId="24" xfId="0" applyFont="1" applyFill="1" applyBorder="1" applyAlignment="1">
      <alignment vertical="center"/>
    </xf>
    <xf numFmtId="0" fontId="1" fillId="12" borderId="24" xfId="0" applyFont="1" applyFill="1" applyBorder="1" applyAlignment="1">
      <alignment vertical="center" wrapText="1"/>
    </xf>
    <xf numFmtId="0" fontId="7" fillId="13" borderId="4" xfId="0" applyFont="1" applyFill="1" applyBorder="1"/>
    <xf numFmtId="0" fontId="7" fillId="13" borderId="5" xfId="0" applyFont="1" applyFill="1" applyBorder="1"/>
    <xf numFmtId="0" fontId="1" fillId="13" borderId="6" xfId="0" applyFont="1" applyFill="1" applyBorder="1" applyAlignment="1">
      <alignment wrapText="1"/>
    </xf>
    <xf numFmtId="164" fontId="5" fillId="13" borderId="6" xfId="0" applyNumberFormat="1" applyFont="1" applyFill="1" applyBorder="1" applyAlignment="1">
      <alignment horizontal="right" wrapText="1"/>
    </xf>
    <xf numFmtId="10" fontId="1" fillId="13" borderId="6" xfId="0" applyNumberFormat="1" applyFont="1" applyFill="1" applyBorder="1" applyAlignment="1">
      <alignment horizontal="right" wrapText="1"/>
    </xf>
    <xf numFmtId="164" fontId="1" fillId="13" borderId="6" xfId="0" applyNumberFormat="1" applyFont="1" applyFill="1" applyBorder="1" applyAlignment="1">
      <alignment horizontal="right" wrapText="1"/>
    </xf>
    <xf numFmtId="10" fontId="1" fillId="13" borderId="6" xfId="0" applyNumberFormat="1" applyFont="1" applyFill="1" applyBorder="1" applyAlignment="1">
      <alignment horizontal="right"/>
    </xf>
    <xf numFmtId="0" fontId="7" fillId="0" borderId="16" xfId="0" applyFont="1" applyBorder="1"/>
    <xf numFmtId="0" fontId="7" fillId="0" borderId="20" xfId="0" applyFont="1" applyBorder="1"/>
    <xf numFmtId="0" fontId="7" fillId="6" borderId="20" xfId="0" applyFont="1" applyFill="1" applyBorder="1" applyAlignment="1">
      <alignment wrapText="1"/>
    </xf>
    <xf numFmtId="0" fontId="7" fillId="0" borderId="20" xfId="0" applyFont="1" applyBorder="1" applyAlignment="1">
      <alignment wrapText="1"/>
    </xf>
    <xf numFmtId="164" fontId="7" fillId="0" borderId="20" xfId="0" applyNumberFormat="1" applyFont="1" applyBorder="1" applyAlignment="1">
      <alignment horizontal="right"/>
    </xf>
    <xf numFmtId="164" fontId="12" fillId="8" borderId="20" xfId="0" applyNumberFormat="1" applyFont="1" applyFill="1" applyBorder="1" applyAlignment="1">
      <alignment horizontal="right"/>
    </xf>
    <xf numFmtId="0" fontId="6" fillId="6" borderId="5" xfId="0" applyFont="1" applyFill="1" applyBorder="1"/>
    <xf numFmtId="164" fontId="11" fillId="8" borderId="14" xfId="0" applyNumberFormat="1" applyFont="1" applyFill="1" applyBorder="1" applyAlignment="1">
      <alignment horizontal="right" vertical="center" wrapText="1"/>
    </xf>
    <xf numFmtId="0" fontId="7" fillId="0" borderId="16" xfId="0" applyFont="1" applyBorder="1" applyAlignment="1"/>
    <xf numFmtId="0" fontId="7" fillId="0" borderId="20" xfId="0" applyFont="1" applyBorder="1" applyAlignment="1">
      <alignment wrapText="1"/>
    </xf>
    <xf numFmtId="164" fontId="1" fillId="8" borderId="20" xfId="0" applyNumberFormat="1" applyFont="1" applyFill="1" applyBorder="1" applyAlignment="1">
      <alignment horizontal="right"/>
    </xf>
    <xf numFmtId="0" fontId="1" fillId="14" borderId="14" xfId="0" applyFont="1" applyFill="1" applyBorder="1" applyAlignment="1">
      <alignment horizontal="center" vertical="center"/>
    </xf>
    <xf numFmtId="0" fontId="19" fillId="12" borderId="4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0" fontId="6" fillId="13" borderId="18" xfId="0" applyFont="1" applyFill="1" applyBorder="1" applyAlignment="1">
      <alignment horizontal="center" vertical="center" wrapText="1"/>
    </xf>
    <xf numFmtId="0" fontId="7" fillId="13" borderId="19" xfId="0" applyFont="1" applyFill="1" applyBorder="1" applyAlignment="1">
      <alignment horizontal="center" vertical="center" wrapText="1"/>
    </xf>
    <xf numFmtId="0" fontId="6" fillId="13" borderId="19" xfId="0" applyFont="1" applyFill="1" applyBorder="1" applyAlignment="1">
      <alignment horizontal="center" vertical="center" wrapText="1"/>
    </xf>
    <xf numFmtId="164" fontId="1" fillId="12" borderId="14" xfId="0" applyNumberFormat="1" applyFont="1" applyFill="1" applyBorder="1" applyAlignment="1">
      <alignment horizontal="right" vertical="center" wrapText="1"/>
    </xf>
    <xf numFmtId="164" fontId="1" fillId="12" borderId="14" xfId="0" applyNumberFormat="1" applyFont="1" applyFill="1" applyBorder="1" applyAlignment="1">
      <alignment horizontal="right" vertical="center"/>
    </xf>
    <xf numFmtId="0" fontId="19" fillId="12" borderId="27" xfId="0" applyFont="1" applyFill="1" applyBorder="1" applyAlignment="1">
      <alignment horizontal="center" vertical="center" wrapText="1"/>
    </xf>
    <xf numFmtId="164" fontId="7" fillId="12" borderId="14" xfId="0" applyNumberFormat="1" applyFont="1" applyFill="1" applyBorder="1" applyAlignment="1">
      <alignment horizontal="right" vertical="center" wrapText="1"/>
    </xf>
    <xf numFmtId="10" fontId="7" fillId="12" borderId="14" xfId="0" applyNumberFormat="1" applyFont="1" applyFill="1" applyBorder="1" applyAlignment="1">
      <alignment horizontal="right" vertical="center"/>
    </xf>
    <xf numFmtId="0" fontId="19" fillId="16" borderId="4" xfId="0" applyFont="1" applyFill="1" applyBorder="1" applyAlignment="1">
      <alignment horizontal="center" vertical="center" wrapText="1"/>
    </xf>
    <xf numFmtId="0" fontId="1" fillId="16" borderId="5" xfId="0" applyFont="1" applyFill="1" applyBorder="1" applyAlignment="1">
      <alignment horizontal="center" vertical="center"/>
    </xf>
    <xf numFmtId="0" fontId="5" fillId="16" borderId="5" xfId="0" applyFont="1" applyFill="1" applyBorder="1" applyAlignment="1">
      <alignment horizontal="center" vertical="center" wrapText="1"/>
    </xf>
    <xf numFmtId="0" fontId="1" fillId="16" borderId="6" xfId="0" applyFont="1" applyFill="1" applyBorder="1" applyAlignment="1">
      <alignment vertical="center" wrapText="1"/>
    </xf>
    <xf numFmtId="164" fontId="5" fillId="16" borderId="6" xfId="0" applyNumberFormat="1" applyFont="1" applyFill="1" applyBorder="1" applyAlignment="1">
      <alignment horizontal="right" vertical="center" wrapText="1"/>
    </xf>
    <xf numFmtId="10" fontId="1" fillId="16" borderId="14" xfId="0" applyNumberFormat="1" applyFont="1" applyFill="1" applyBorder="1" applyAlignment="1">
      <alignment horizontal="right" vertical="center" wrapText="1"/>
    </xf>
    <xf numFmtId="10" fontId="7" fillId="16" borderId="14" xfId="0" applyNumberFormat="1" applyFont="1" applyFill="1" applyBorder="1" applyAlignment="1">
      <alignment horizontal="right" vertical="center"/>
    </xf>
    <xf numFmtId="164" fontId="7" fillId="13" borderId="14" xfId="0" applyNumberFormat="1" applyFont="1" applyFill="1" applyBorder="1"/>
    <xf numFmtId="0" fontId="5" fillId="14" borderId="13" xfId="0" applyFont="1" applyFill="1" applyBorder="1" applyAlignment="1">
      <alignment horizontal="center" vertical="center" wrapText="1"/>
    </xf>
    <xf numFmtId="0" fontId="1" fillId="14" borderId="13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vertical="center" wrapText="1"/>
    </xf>
    <xf numFmtId="164" fontId="5" fillId="14" borderId="14" xfId="0" applyNumberFormat="1" applyFont="1" applyFill="1" applyBorder="1" applyAlignment="1">
      <alignment horizontal="right" vertical="center" wrapText="1"/>
    </xf>
    <xf numFmtId="0" fontId="5" fillId="12" borderId="27" xfId="0" applyFont="1" applyFill="1" applyBorder="1" applyAlignment="1">
      <alignment horizontal="center" vertical="center" wrapText="1"/>
    </xf>
    <xf numFmtId="0" fontId="1" fillId="16" borderId="5" xfId="0" applyFont="1" applyFill="1" applyBorder="1" applyAlignment="1">
      <alignment horizontal="center" vertical="center" wrapText="1"/>
    </xf>
    <xf numFmtId="10" fontId="1" fillId="16" borderId="14" xfId="0" applyNumberFormat="1" applyFont="1" applyFill="1" applyBorder="1" applyAlignment="1">
      <alignment horizontal="right" vertical="center"/>
    </xf>
    <xf numFmtId="10" fontId="7" fillId="8" borderId="15" xfId="0" applyNumberFormat="1" applyFont="1" applyFill="1" applyBorder="1" applyAlignment="1">
      <alignment horizontal="right" vertical="center" wrapText="1"/>
    </xf>
    <xf numFmtId="0" fontId="6" fillId="15" borderId="4" xfId="0" applyFont="1" applyFill="1" applyBorder="1" applyAlignment="1">
      <alignment horizontal="center" vertical="center" wrapText="1"/>
    </xf>
    <xf numFmtId="0" fontId="7" fillId="15" borderId="5" xfId="0" applyFont="1" applyFill="1" applyBorder="1" applyAlignment="1">
      <alignment horizontal="center" vertical="center" wrapText="1"/>
    </xf>
    <xf numFmtId="0" fontId="6" fillId="15" borderId="5" xfId="0" applyFont="1" applyFill="1" applyBorder="1" applyAlignment="1">
      <alignment horizontal="center" vertical="center" wrapText="1"/>
    </xf>
    <xf numFmtId="164" fontId="5" fillId="16" borderId="14" xfId="0" applyNumberFormat="1" applyFont="1" applyFill="1" applyBorder="1" applyAlignment="1">
      <alignment horizontal="right" vertical="center" wrapText="1"/>
    </xf>
    <xf numFmtId="0" fontId="1" fillId="6" borderId="14" xfId="0" applyFont="1" applyFill="1" applyBorder="1" applyAlignment="1">
      <alignment vertical="center" wrapText="1"/>
    </xf>
    <xf numFmtId="0" fontId="6" fillId="0" borderId="14" xfId="0" applyFont="1" applyBorder="1" applyAlignment="1">
      <alignment horizontal="center" vertical="center"/>
    </xf>
    <xf numFmtId="0" fontId="5" fillId="6" borderId="14" xfId="0" applyFont="1" applyFill="1" applyBorder="1" applyAlignment="1">
      <alignment vertical="center" wrapText="1"/>
    </xf>
    <xf numFmtId="0" fontId="15" fillId="0" borderId="14" xfId="0" applyFont="1" applyBorder="1" applyAlignment="1">
      <alignment horizontal="center" vertical="center" wrapText="1"/>
    </xf>
    <xf numFmtId="164" fontId="5" fillId="0" borderId="14" xfId="0" applyNumberFormat="1" applyFont="1" applyBorder="1" applyAlignment="1">
      <alignment horizontal="right" vertical="center"/>
    </xf>
    <xf numFmtId="0" fontId="7" fillId="0" borderId="14" xfId="0" applyFont="1" applyBorder="1"/>
    <xf numFmtId="0" fontId="7" fillId="0" borderId="14" xfId="0" applyFont="1" applyBorder="1" applyAlignment="1">
      <alignment horizontal="center" vertical="center" wrapText="1"/>
    </xf>
    <xf numFmtId="0" fontId="7" fillId="0" borderId="6" xfId="0" applyFont="1" applyBorder="1" applyAlignment="1">
      <alignment wrapText="1"/>
    </xf>
    <xf numFmtId="164" fontId="7" fillId="6" borderId="6" xfId="0" applyNumberFormat="1" applyFont="1" applyFill="1" applyBorder="1" applyAlignment="1"/>
    <xf numFmtId="164" fontId="15" fillId="6" borderId="6" xfId="0" applyNumberFormat="1" applyFont="1" applyFill="1" applyBorder="1" applyAlignment="1">
      <alignment horizontal="right"/>
    </xf>
    <xf numFmtId="0" fontId="7" fillId="0" borderId="14" xfId="0" applyFont="1" applyBorder="1"/>
    <xf numFmtId="0" fontId="7" fillId="6" borderId="13" xfId="0" applyFont="1" applyFill="1" applyBorder="1" applyAlignment="1">
      <alignment vertical="center" wrapText="1"/>
    </xf>
    <xf numFmtId="0" fontId="1" fillId="16" borderId="6" xfId="0" applyFont="1" applyFill="1" applyBorder="1" applyAlignment="1">
      <alignment vertical="center" wrapText="1"/>
    </xf>
    <xf numFmtId="0" fontId="7" fillId="0" borderId="14" xfId="0" applyFont="1" applyBorder="1" applyAlignment="1">
      <alignment horizontal="center"/>
    </xf>
    <xf numFmtId="164" fontId="7" fillId="8" borderId="14" xfId="0" applyNumberFormat="1" applyFont="1" applyFill="1" applyBorder="1" applyAlignment="1">
      <alignment horizontal="right" vertical="center"/>
    </xf>
    <xf numFmtId="0" fontId="1" fillId="15" borderId="19" xfId="0" applyFont="1" applyFill="1" applyBorder="1" applyAlignment="1">
      <alignment horizontal="center" vertical="center"/>
    </xf>
    <xf numFmtId="0" fontId="1" fillId="15" borderId="5" xfId="0" applyFont="1" applyFill="1" applyBorder="1" applyAlignment="1">
      <alignment horizontal="center" vertical="center"/>
    </xf>
    <xf numFmtId="0" fontId="7" fillId="0" borderId="25" xfId="0" applyFont="1" applyBorder="1" applyAlignment="1">
      <alignment horizontal="center" vertical="center" wrapText="1"/>
    </xf>
    <xf numFmtId="0" fontId="20" fillId="0" borderId="0" xfId="0" applyFont="1"/>
    <xf numFmtId="0" fontId="10" fillId="11" borderId="27" xfId="0" applyFont="1" applyFill="1" applyBorder="1" applyAlignment="1">
      <alignment horizontal="center" vertical="center" wrapText="1"/>
    </xf>
    <xf numFmtId="164" fontId="6" fillId="13" borderId="14" xfId="0" applyNumberFormat="1" applyFont="1" applyFill="1" applyBorder="1" applyAlignment="1">
      <alignment horizontal="right" vertical="center" wrapText="1"/>
    </xf>
    <xf numFmtId="0" fontId="14" fillId="0" borderId="1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4" xfId="0" applyFont="1" applyBorder="1" applyAlignment="1">
      <alignment vertical="center" wrapText="1"/>
    </xf>
    <xf numFmtId="0" fontId="21" fillId="16" borderId="4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vertical="center" wrapText="1"/>
    </xf>
    <xf numFmtId="0" fontId="7" fillId="6" borderId="6" xfId="0" applyFont="1" applyFill="1" applyBorder="1" applyAlignment="1">
      <alignment vertical="center" wrapText="1"/>
    </xf>
    <xf numFmtId="0" fontId="1" fillId="15" borderId="6" xfId="0" applyFont="1" applyFill="1" applyBorder="1" applyAlignment="1">
      <alignment vertical="center" wrapText="1"/>
    </xf>
    <xf numFmtId="0" fontId="5" fillId="12" borderId="4" xfId="0" applyFont="1" applyFill="1" applyBorder="1" applyAlignment="1">
      <alignment horizontal="center" vertical="center" wrapText="1"/>
    </xf>
    <xf numFmtId="164" fontId="7" fillId="6" borderId="14" xfId="0" applyNumberFormat="1" applyFont="1" applyFill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7" fillId="6" borderId="14" xfId="0" applyFont="1" applyFill="1" applyBorder="1" applyAlignment="1">
      <alignment vertical="center"/>
    </xf>
    <xf numFmtId="0" fontId="7" fillId="0" borderId="13" xfId="0" applyFont="1" applyBorder="1" applyAlignment="1">
      <alignment horizontal="center"/>
    </xf>
    <xf numFmtId="0" fontId="7" fillId="6" borderId="13" xfId="0" applyFont="1" applyFill="1" applyBorder="1" applyAlignment="1">
      <alignment vertical="center"/>
    </xf>
    <xf numFmtId="0" fontId="10" fillId="11" borderId="4" xfId="0" applyFont="1" applyFill="1" applyBorder="1" applyAlignment="1">
      <alignment horizontal="center" vertical="center" wrapText="1"/>
    </xf>
    <xf numFmtId="164" fontId="10" fillId="11" borderId="14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166" fontId="7" fillId="0" borderId="14" xfId="0" applyNumberFormat="1" applyFont="1" applyBorder="1" applyAlignment="1">
      <alignment horizontal="left" vertical="center" wrapText="1"/>
    </xf>
    <xf numFmtId="166" fontId="7" fillId="0" borderId="13" xfId="0" applyNumberFormat="1" applyFont="1" applyBorder="1" applyAlignment="1">
      <alignment horizontal="left" vertical="center" wrapText="1"/>
    </xf>
    <xf numFmtId="164" fontId="5" fillId="11" borderId="24" xfId="0" applyNumberFormat="1" applyFont="1" applyFill="1" applyBorder="1" applyAlignment="1">
      <alignment horizontal="right" vertical="center"/>
    </xf>
    <xf numFmtId="164" fontId="5" fillId="11" borderId="13" xfId="0" applyNumberFormat="1" applyFont="1" applyFill="1" applyBorder="1" applyAlignment="1">
      <alignment horizontal="right" vertical="center"/>
    </xf>
    <xf numFmtId="10" fontId="10" fillId="11" borderId="13" xfId="0" applyNumberFormat="1" applyFont="1" applyFill="1" applyBorder="1" applyAlignment="1">
      <alignment horizontal="right" vertical="center"/>
    </xf>
    <xf numFmtId="164" fontId="10" fillId="11" borderId="13" xfId="0" applyNumberFormat="1" applyFont="1" applyFill="1" applyBorder="1" applyAlignment="1">
      <alignment horizontal="right" vertical="center"/>
    </xf>
    <xf numFmtId="0" fontId="22" fillId="0" borderId="0" xfId="0" applyFont="1"/>
    <xf numFmtId="0" fontId="6" fillId="0" borderId="0" xfId="0" applyFont="1" applyAlignment="1">
      <alignment horizontal="center" vertical="center" wrapText="1"/>
    </xf>
    <xf numFmtId="166" fontId="1" fillId="0" borderId="0" xfId="0" applyNumberFormat="1" applyFont="1" applyAlignment="1">
      <alignment horizontal="right" vertical="center" wrapText="1"/>
    </xf>
    <xf numFmtId="164" fontId="5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right" vertical="center" wrapText="1"/>
    </xf>
    <xf numFmtId="165" fontId="1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  <xf numFmtId="10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0" fontId="10" fillId="11" borderId="14" xfId="0" applyFont="1" applyFill="1" applyBorder="1" applyAlignment="1">
      <alignment horizontal="center" vertical="center" wrapText="1"/>
    </xf>
    <xf numFmtId="0" fontId="9" fillId="11" borderId="14" xfId="0" applyFont="1" applyFill="1" applyBorder="1" applyAlignment="1">
      <alignment vertical="center"/>
    </xf>
    <xf numFmtId="0" fontId="10" fillId="11" borderId="14" xfId="0" applyFont="1" applyFill="1" applyBorder="1" applyAlignment="1">
      <alignment vertical="center"/>
    </xf>
    <xf numFmtId="164" fontId="5" fillId="11" borderId="14" xfId="0" applyNumberFormat="1" applyFont="1" applyFill="1" applyBorder="1" applyAlignment="1">
      <alignment horizontal="right" vertical="center"/>
    </xf>
    <xf numFmtId="0" fontId="5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vertical="center"/>
    </xf>
    <xf numFmtId="0" fontId="5" fillId="17" borderId="14" xfId="0" applyFont="1" applyFill="1" applyBorder="1" applyAlignment="1">
      <alignment horizontal="left" vertical="center"/>
    </xf>
    <xf numFmtId="0" fontId="1" fillId="17" borderId="14" xfId="0" applyFont="1" applyFill="1" applyBorder="1" applyAlignment="1">
      <alignment vertical="center"/>
    </xf>
    <xf numFmtId="0" fontId="6" fillId="17" borderId="14" xfId="0" applyFont="1" applyFill="1" applyBorder="1" applyAlignment="1">
      <alignment horizontal="center" vertical="center" wrapText="1"/>
    </xf>
    <xf numFmtId="166" fontId="1" fillId="18" borderId="14" xfId="0" applyNumberFormat="1" applyFont="1" applyFill="1" applyBorder="1" applyAlignment="1">
      <alignment horizontal="right" vertical="center" wrapText="1"/>
    </xf>
    <xf numFmtId="164" fontId="5" fillId="18" borderId="14" xfId="0" applyNumberFormat="1" applyFont="1" applyFill="1" applyBorder="1" applyAlignment="1">
      <alignment horizontal="center" vertical="center" wrapText="1"/>
    </xf>
    <xf numFmtId="164" fontId="5" fillId="18" borderId="14" xfId="0" applyNumberFormat="1" applyFont="1" applyFill="1" applyBorder="1" applyAlignment="1">
      <alignment horizontal="right" vertical="center" wrapText="1"/>
    </xf>
    <xf numFmtId="164" fontId="5" fillId="18" borderId="14" xfId="0" applyNumberFormat="1" applyFont="1" applyFill="1" applyBorder="1" applyAlignment="1">
      <alignment horizontal="center" vertical="center"/>
    </xf>
    <xf numFmtId="164" fontId="1" fillId="18" borderId="14" xfId="0" applyNumberFormat="1" applyFont="1" applyFill="1" applyBorder="1" applyAlignment="1">
      <alignment horizontal="center" vertical="center"/>
    </xf>
    <xf numFmtId="164" fontId="7" fillId="18" borderId="14" xfId="0" applyNumberFormat="1" applyFont="1" applyFill="1" applyBorder="1" applyAlignment="1">
      <alignment horizontal="center" vertical="center"/>
    </xf>
    <xf numFmtId="164" fontId="5" fillId="18" borderId="14" xfId="0" applyNumberFormat="1" applyFont="1" applyFill="1" applyBorder="1" applyAlignment="1">
      <alignment horizontal="right" vertical="center"/>
    </xf>
    <xf numFmtId="10" fontId="1" fillId="14" borderId="30" xfId="0" applyNumberFormat="1" applyFont="1" applyFill="1" applyBorder="1" applyAlignment="1">
      <alignment horizontal="right" vertical="center"/>
    </xf>
    <xf numFmtId="10" fontId="1" fillId="14" borderId="31" xfId="0" applyNumberFormat="1" applyFont="1" applyFill="1" applyBorder="1" applyAlignment="1">
      <alignment horizontal="right" vertical="center"/>
    </xf>
    <xf numFmtId="10" fontId="1" fillId="14" borderId="32" xfId="0" applyNumberFormat="1" applyFont="1" applyFill="1" applyBorder="1" applyAlignment="1">
      <alignment horizontal="right" vertical="center"/>
    </xf>
    <xf numFmtId="167" fontId="1" fillId="23" borderId="14" xfId="0" applyNumberFormat="1" applyFont="1" applyFill="1" applyBorder="1" applyAlignment="1">
      <alignment horizontal="center" vertical="center" wrapText="1"/>
    </xf>
    <xf numFmtId="164" fontId="1" fillId="23" borderId="14" xfId="0" applyNumberFormat="1" applyFont="1" applyFill="1" applyBorder="1" applyAlignment="1">
      <alignment vertical="center"/>
    </xf>
    <xf numFmtId="167" fontId="5" fillId="23" borderId="14" xfId="0" applyNumberFormat="1" applyFont="1" applyFill="1" applyBorder="1" applyAlignment="1">
      <alignment horizontal="center" vertical="center"/>
    </xf>
    <xf numFmtId="0" fontId="1" fillId="8" borderId="14" xfId="0" applyFont="1" applyFill="1" applyBorder="1" applyAlignment="1">
      <alignment horizontal="right" vertical="center"/>
    </xf>
    <xf numFmtId="0" fontId="1" fillId="24" borderId="14" xfId="0" applyFont="1" applyFill="1" applyBorder="1" applyAlignment="1">
      <alignment horizontal="right" vertical="center"/>
    </xf>
    <xf numFmtId="164" fontId="1" fillId="8" borderId="14" xfId="0" applyNumberFormat="1" applyFont="1" applyFill="1" applyBorder="1" applyAlignment="1">
      <alignment horizontal="right" vertical="center"/>
    </xf>
    <xf numFmtId="10" fontId="1" fillId="14" borderId="3" xfId="0" applyNumberFormat="1" applyFont="1" applyFill="1" applyBorder="1" applyAlignment="1">
      <alignment horizontal="right" vertical="center"/>
    </xf>
    <xf numFmtId="10" fontId="1" fillId="14" borderId="1" xfId="0" applyNumberFormat="1" applyFont="1" applyFill="1" applyBorder="1" applyAlignment="1">
      <alignment horizontal="right" vertical="center"/>
    </xf>
    <xf numFmtId="164" fontId="1" fillId="4" borderId="14" xfId="0" applyNumberFormat="1" applyFont="1" applyFill="1" applyBorder="1" applyAlignment="1">
      <alignment horizontal="right" vertical="center"/>
    </xf>
    <xf numFmtId="164" fontId="1" fillId="4" borderId="14" xfId="0" applyNumberFormat="1" applyFont="1" applyFill="1" applyBorder="1" applyAlignment="1">
      <alignment horizontal="right" vertical="center" wrapText="1"/>
    </xf>
    <xf numFmtId="0" fontId="6" fillId="25" borderId="14" xfId="0" applyFont="1" applyFill="1" applyBorder="1" applyAlignment="1">
      <alignment horizontal="center" vertical="center" wrapText="1"/>
    </xf>
    <xf numFmtId="164" fontId="7" fillId="0" borderId="14" xfId="0" applyNumberFormat="1" applyFont="1" applyBorder="1" applyAlignment="1">
      <alignment vertical="center"/>
    </xf>
    <xf numFmtId="164" fontId="6" fillId="25" borderId="14" xfId="0" applyNumberFormat="1" applyFont="1" applyFill="1" applyBorder="1" applyAlignment="1">
      <alignment vertical="center"/>
    </xf>
    <xf numFmtId="164" fontId="5" fillId="4" borderId="14" xfId="0" applyNumberFormat="1" applyFont="1" applyFill="1" applyBorder="1" applyAlignment="1">
      <alignment horizontal="right" vertical="center"/>
    </xf>
    <xf numFmtId="164" fontId="5" fillId="26" borderId="14" xfId="0" applyNumberFormat="1" applyFont="1" applyFill="1" applyBorder="1" applyAlignment="1">
      <alignment horizontal="right" vertical="center"/>
    </xf>
    <xf numFmtId="164" fontId="1" fillId="26" borderId="14" xfId="0" applyNumberFormat="1" applyFont="1" applyFill="1" applyBorder="1" applyAlignment="1">
      <alignment horizontal="right" vertical="center"/>
    </xf>
    <xf numFmtId="164" fontId="7" fillId="26" borderId="14" xfId="0" applyNumberFormat="1" applyFont="1" applyFill="1" applyBorder="1" applyAlignment="1">
      <alignment horizontal="right" vertical="center"/>
    </xf>
    <xf numFmtId="164" fontId="7" fillId="0" borderId="0" xfId="0" applyNumberFormat="1" applyFont="1"/>
    <xf numFmtId="164" fontId="1" fillId="6" borderId="33" xfId="0" applyNumberFormat="1" applyFont="1" applyFill="1" applyBorder="1" applyAlignment="1">
      <alignment horizontal="right" vertical="center"/>
    </xf>
    <xf numFmtId="164" fontId="7" fillId="14" borderId="34" xfId="0" applyNumberFormat="1" applyFont="1" applyFill="1" applyBorder="1" applyAlignment="1">
      <alignment horizontal="right" vertical="center"/>
    </xf>
    <xf numFmtId="164" fontId="7" fillId="14" borderId="3" xfId="0" applyNumberFormat="1" applyFont="1" applyFill="1" applyBorder="1" applyAlignment="1">
      <alignment horizontal="right" vertical="center"/>
    </xf>
    <xf numFmtId="0" fontId="1" fillId="19" borderId="14" xfId="0" applyFont="1" applyFill="1" applyBorder="1" applyAlignment="1">
      <alignment horizontal="right" vertical="center"/>
    </xf>
    <xf numFmtId="164" fontId="5" fillId="19" borderId="14" xfId="0" applyNumberFormat="1" applyFont="1" applyFill="1" applyBorder="1" applyAlignment="1">
      <alignment horizontal="right" vertical="center"/>
    </xf>
    <xf numFmtId="10" fontId="1" fillId="19" borderId="14" xfId="0" applyNumberFormat="1" applyFont="1" applyFill="1" applyBorder="1" applyAlignment="1">
      <alignment horizontal="right" vertical="center"/>
    </xf>
    <xf numFmtId="164" fontId="1" fillId="17" borderId="14" xfId="0" applyNumberFormat="1" applyFont="1" applyFill="1" applyBorder="1" applyAlignment="1">
      <alignment horizontal="right" vertical="center"/>
    </xf>
    <xf numFmtId="164" fontId="1" fillId="27" borderId="14" xfId="0" applyNumberFormat="1" applyFont="1" applyFill="1" applyBorder="1" applyAlignment="1">
      <alignment horizontal="right" vertical="center"/>
    </xf>
    <xf numFmtId="164" fontId="1" fillId="27" borderId="14" xfId="0" applyNumberFormat="1" applyFont="1" applyFill="1" applyBorder="1" applyAlignment="1">
      <alignment horizontal="right" vertical="center"/>
    </xf>
    <xf numFmtId="164" fontId="5" fillId="27" borderId="14" xfId="0" applyNumberFormat="1" applyFont="1" applyFill="1" applyBorder="1" applyAlignment="1">
      <alignment horizontal="right" vertical="center"/>
    </xf>
    <xf numFmtId="164" fontId="5" fillId="27" borderId="14" xfId="0" applyNumberFormat="1" applyFont="1" applyFill="1" applyBorder="1" applyAlignment="1">
      <alignment horizontal="right" vertical="center"/>
    </xf>
    <xf numFmtId="10" fontId="1" fillId="14" borderId="35" xfId="0" applyNumberFormat="1" applyFont="1" applyFill="1" applyBorder="1" applyAlignment="1">
      <alignment horizontal="right" vertical="center"/>
    </xf>
    <xf numFmtId="164" fontId="7" fillId="0" borderId="14" xfId="0" applyNumberFormat="1" applyFont="1" applyBorder="1" applyAlignment="1">
      <alignment vertical="center"/>
    </xf>
    <xf numFmtId="164" fontId="5" fillId="7" borderId="14" xfId="0" applyNumberFormat="1" applyFont="1" applyFill="1" applyBorder="1" applyAlignment="1">
      <alignment horizontal="left" vertical="center"/>
    </xf>
    <xf numFmtId="49" fontId="5" fillId="7" borderId="14" xfId="0" applyNumberFormat="1" applyFont="1" applyFill="1" applyBorder="1" applyAlignment="1">
      <alignment horizontal="center" vertical="center"/>
    </xf>
    <xf numFmtId="164" fontId="7" fillId="7" borderId="14" xfId="0" applyNumberFormat="1" applyFont="1" applyFill="1" applyBorder="1" applyAlignment="1">
      <alignment horizontal="center" vertical="center"/>
    </xf>
    <xf numFmtId="10" fontId="5" fillId="7" borderId="14" xfId="0" applyNumberFormat="1" applyFont="1" applyFill="1" applyBorder="1" applyAlignment="1">
      <alignment horizontal="right" vertical="center"/>
    </xf>
    <xf numFmtId="0" fontId="1" fillId="29" borderId="14" xfId="0" applyFont="1" applyFill="1" applyBorder="1" applyAlignment="1">
      <alignment horizontal="center"/>
    </xf>
    <xf numFmtId="164" fontId="1" fillId="29" borderId="4" xfId="0" applyNumberFormat="1" applyFont="1" applyFill="1" applyBorder="1" applyAlignment="1">
      <alignment horizontal="center" vertical="center"/>
    </xf>
    <xf numFmtId="164" fontId="1" fillId="29" borderId="14" xfId="0" applyNumberFormat="1" applyFont="1" applyFill="1" applyBorder="1" applyAlignment="1">
      <alignment horizontal="center" vertical="center"/>
    </xf>
    <xf numFmtId="49" fontId="6" fillId="25" borderId="14" xfId="0" applyNumberFormat="1" applyFont="1" applyFill="1" applyBorder="1" applyAlignment="1">
      <alignment horizontal="center" vertical="center" wrapText="1"/>
    </xf>
    <xf numFmtId="164" fontId="15" fillId="7" borderId="14" xfId="0" applyNumberFormat="1" applyFont="1" applyFill="1" applyBorder="1" applyAlignment="1">
      <alignment horizontal="center" vertical="center"/>
    </xf>
    <xf numFmtId="164" fontId="1" fillId="6" borderId="14" xfId="0" applyNumberFormat="1" applyFont="1" applyFill="1" applyBorder="1" applyAlignment="1">
      <alignment horizontal="right" vertical="center"/>
    </xf>
    <xf numFmtId="164" fontId="1" fillId="14" borderId="14" xfId="0" applyNumberFormat="1" applyFont="1" applyFill="1" applyBorder="1" applyAlignment="1">
      <alignment horizontal="right" vertical="center"/>
    </xf>
    <xf numFmtId="164" fontId="1" fillId="14" borderId="14" xfId="0" applyNumberFormat="1" applyFont="1" applyFill="1" applyBorder="1" applyAlignment="1">
      <alignment horizontal="right" vertical="center"/>
    </xf>
    <xf numFmtId="164" fontId="1" fillId="6" borderId="14" xfId="0" applyNumberFormat="1" applyFont="1" applyFill="1" applyBorder="1" applyAlignment="1">
      <alignment horizontal="center" vertical="center"/>
    </xf>
    <xf numFmtId="164" fontId="1" fillId="14" borderId="14" xfId="0" applyNumberFormat="1" applyFont="1" applyFill="1" applyBorder="1" applyAlignment="1">
      <alignment horizontal="center" vertical="center"/>
    </xf>
    <xf numFmtId="164" fontId="1" fillId="14" borderId="14" xfId="0" applyNumberFormat="1" applyFont="1" applyFill="1" applyBorder="1" applyAlignment="1">
      <alignment horizontal="center" vertical="center"/>
    </xf>
    <xf numFmtId="164" fontId="1" fillId="6" borderId="14" xfId="0" applyNumberFormat="1" applyFont="1" applyFill="1" applyBorder="1" applyAlignment="1">
      <alignment horizontal="center" vertical="center"/>
    </xf>
    <xf numFmtId="167" fontId="6" fillId="25" borderId="14" xfId="0" applyNumberFormat="1" applyFont="1" applyFill="1" applyBorder="1" applyAlignment="1">
      <alignment horizontal="center" vertical="center" wrapText="1"/>
    </xf>
    <xf numFmtId="164" fontId="14" fillId="7" borderId="14" xfId="0" applyNumberFormat="1" applyFont="1" applyFill="1" applyBorder="1" applyAlignment="1">
      <alignment horizontal="center" vertical="center"/>
    </xf>
    <xf numFmtId="164" fontId="1" fillId="14" borderId="30" xfId="0" applyNumberFormat="1" applyFont="1" applyFill="1" applyBorder="1" applyAlignment="1">
      <alignment horizontal="right" vertical="center"/>
    </xf>
    <xf numFmtId="164" fontId="1" fillId="14" borderId="31" xfId="0" applyNumberFormat="1" applyFont="1" applyFill="1" applyBorder="1" applyAlignment="1">
      <alignment horizontal="right" vertical="center"/>
    </xf>
    <xf numFmtId="167" fontId="5" fillId="25" borderId="14" xfId="0" applyNumberFormat="1" applyFont="1" applyFill="1" applyBorder="1" applyAlignment="1">
      <alignment horizontal="center" vertical="center" wrapText="1"/>
    </xf>
    <xf numFmtId="164" fontId="1" fillId="25" borderId="14" xfId="0" applyNumberFormat="1" applyFont="1" applyFill="1" applyBorder="1" applyAlignment="1">
      <alignment vertical="center"/>
    </xf>
    <xf numFmtId="164" fontId="5" fillId="25" borderId="14" xfId="0" applyNumberFormat="1" applyFont="1" applyFill="1" applyBorder="1" applyAlignment="1">
      <alignment vertical="center"/>
    </xf>
    <xf numFmtId="0" fontId="1" fillId="2" borderId="14" xfId="0" applyFont="1" applyFill="1" applyBorder="1" applyAlignment="1">
      <alignment horizontal="right" vertical="center"/>
    </xf>
    <xf numFmtId="164" fontId="5" fillId="2" borderId="14" xfId="0" applyNumberFormat="1" applyFont="1" applyFill="1" applyBorder="1" applyAlignment="1">
      <alignment horizontal="right" vertical="center"/>
    </xf>
    <xf numFmtId="10" fontId="1" fillId="2" borderId="14" xfId="0" applyNumberFormat="1" applyFont="1" applyFill="1" applyBorder="1" applyAlignment="1">
      <alignment horizontal="right" vertical="center"/>
    </xf>
    <xf numFmtId="164" fontId="5" fillId="7" borderId="14" xfId="0" applyNumberFormat="1" applyFont="1" applyFill="1" applyBorder="1" applyAlignment="1">
      <alignment horizontal="left" vertical="center"/>
    </xf>
    <xf numFmtId="10" fontId="7" fillId="0" borderId="0" xfId="0" applyNumberFormat="1" applyFont="1" applyAlignment="1">
      <alignment horizontal="right" vertical="center"/>
    </xf>
    <xf numFmtId="164" fontId="1" fillId="0" borderId="14" xfId="0" applyNumberFormat="1" applyFont="1" applyBorder="1" applyAlignment="1">
      <alignment horizontal="center" vertical="center"/>
    </xf>
    <xf numFmtId="0" fontId="1" fillId="25" borderId="14" xfId="0" applyFont="1" applyFill="1" applyBorder="1" applyAlignment="1">
      <alignment horizontal="center" vertical="center" wrapText="1"/>
    </xf>
    <xf numFmtId="0" fontId="6" fillId="25" borderId="14" xfId="0" applyFont="1" applyFill="1" applyBorder="1" applyAlignment="1">
      <alignment vertical="center"/>
    </xf>
    <xf numFmtId="164" fontId="6" fillId="2" borderId="14" xfId="0" applyNumberFormat="1" applyFont="1" applyFill="1" applyBorder="1" applyAlignment="1">
      <alignment horizontal="right" vertical="center"/>
    </xf>
    <xf numFmtId="0" fontId="7" fillId="2" borderId="14" xfId="0" applyFont="1" applyFill="1" applyBorder="1" applyAlignment="1">
      <alignment horizontal="right" vertical="center"/>
    </xf>
    <xf numFmtId="0" fontId="1" fillId="25" borderId="14" xfId="0" applyFont="1" applyFill="1" applyBorder="1" applyAlignment="1">
      <alignment horizontal="center" vertical="center" wrapText="1"/>
    </xf>
    <xf numFmtId="164" fontId="1" fillId="0" borderId="14" xfId="0" applyNumberFormat="1" applyFont="1" applyBorder="1" applyAlignment="1">
      <alignment vertical="center"/>
    </xf>
    <xf numFmtId="168" fontId="6" fillId="25" borderId="14" xfId="0" applyNumberFormat="1" applyFont="1" applyFill="1" applyBorder="1" applyAlignment="1">
      <alignment vertical="center"/>
    </xf>
    <xf numFmtId="164" fontId="5" fillId="17" borderId="39" xfId="0" applyNumberFormat="1" applyFont="1" applyFill="1" applyBorder="1" applyAlignment="1">
      <alignment horizontal="center" vertical="center"/>
    </xf>
    <xf numFmtId="0" fontId="1" fillId="17" borderId="39" xfId="0" applyFont="1" applyFill="1" applyBorder="1" applyAlignment="1">
      <alignment horizontal="center" vertical="center"/>
    </xf>
    <xf numFmtId="0" fontId="1" fillId="17" borderId="40" xfId="0" applyFont="1" applyFill="1" applyBorder="1" applyAlignment="1">
      <alignment horizontal="center" vertical="center"/>
    </xf>
    <xf numFmtId="168" fontId="6" fillId="25" borderId="4" xfId="0" applyNumberFormat="1" applyFont="1" applyFill="1" applyBorder="1" applyAlignment="1">
      <alignment vertical="center"/>
    </xf>
    <xf numFmtId="164" fontId="6" fillId="0" borderId="14" xfId="0" applyNumberFormat="1" applyFont="1" applyBorder="1" applyAlignment="1">
      <alignment horizontal="center" vertical="center"/>
    </xf>
    <xf numFmtId="164" fontId="6" fillId="0" borderId="14" xfId="0" applyNumberFormat="1" applyFont="1" applyBorder="1" applyAlignment="1">
      <alignment horizontal="center" vertical="center"/>
    </xf>
    <xf numFmtId="164" fontId="7" fillId="0" borderId="14" xfId="0" applyNumberFormat="1" applyFont="1" applyBorder="1" applyAlignment="1">
      <alignment horizontal="center" vertical="center"/>
    </xf>
    <xf numFmtId="164" fontId="7" fillId="0" borderId="42" xfId="0" applyNumberFormat="1" applyFont="1" applyBorder="1" applyAlignment="1">
      <alignment horizontal="center" vertical="center"/>
    </xf>
    <xf numFmtId="164" fontId="5" fillId="7" borderId="6" xfId="0" applyNumberFormat="1" applyFont="1" applyFill="1" applyBorder="1" applyAlignment="1">
      <alignment horizontal="left" vertical="center"/>
    </xf>
    <xf numFmtId="0" fontId="6" fillId="25" borderId="4" xfId="0" applyFont="1" applyFill="1" applyBorder="1" applyAlignment="1">
      <alignment vertical="center"/>
    </xf>
    <xf numFmtId="10" fontId="5" fillId="18" borderId="14" xfId="0" applyNumberFormat="1" applyFont="1" applyFill="1" applyBorder="1" applyAlignment="1">
      <alignment horizontal="right" vertical="center"/>
    </xf>
    <xf numFmtId="10" fontId="1" fillId="18" borderId="14" xfId="0" applyNumberFormat="1" applyFont="1" applyFill="1" applyBorder="1" applyAlignment="1">
      <alignment horizontal="right" vertical="center"/>
    </xf>
    <xf numFmtId="164" fontId="1" fillId="18" borderId="14" xfId="0" applyNumberFormat="1" applyFont="1" applyFill="1" applyBorder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164" fontId="1" fillId="19" borderId="14" xfId="0" applyNumberFormat="1" applyFont="1" applyFill="1" applyBorder="1" applyAlignment="1">
      <alignment horizontal="right" vertical="center"/>
    </xf>
    <xf numFmtId="164" fontId="6" fillId="25" borderId="4" xfId="0" applyNumberFormat="1" applyFont="1" applyFill="1" applyBorder="1" applyAlignment="1">
      <alignment vertical="center"/>
    </xf>
    <xf numFmtId="164" fontId="1" fillId="30" borderId="14" xfId="0" applyNumberFormat="1" applyFont="1" applyFill="1" applyBorder="1" applyAlignment="1">
      <alignment horizontal="right" vertical="center"/>
    </xf>
    <xf numFmtId="164" fontId="7" fillId="14" borderId="30" xfId="0" applyNumberFormat="1" applyFont="1" applyFill="1" applyBorder="1" applyAlignment="1">
      <alignment horizontal="right" vertical="center"/>
    </xf>
    <xf numFmtId="0" fontId="7" fillId="25" borderId="14" xfId="0" applyFont="1" applyFill="1" applyBorder="1" applyAlignment="1">
      <alignment horizontal="center" vertical="center" wrapText="1"/>
    </xf>
    <xf numFmtId="164" fontId="7" fillId="25" borderId="14" xfId="0" applyNumberFormat="1" applyFont="1" applyFill="1" applyBorder="1" applyAlignment="1">
      <alignment vertical="center"/>
    </xf>
    <xf numFmtId="164" fontId="6" fillId="25" borderId="4" xfId="0" applyNumberFormat="1" applyFont="1" applyFill="1" applyBorder="1"/>
    <xf numFmtId="164" fontId="7" fillId="14" borderId="31" xfId="0" applyNumberFormat="1" applyFont="1" applyFill="1" applyBorder="1" applyAlignment="1">
      <alignment horizontal="right" vertical="center"/>
    </xf>
    <xf numFmtId="164" fontId="5" fillId="17" borderId="45" xfId="0" applyNumberFormat="1" applyFont="1" applyFill="1" applyBorder="1" applyAlignment="1">
      <alignment vertical="center"/>
    </xf>
    <xf numFmtId="164" fontId="5" fillId="17" borderId="45" xfId="0" applyNumberFormat="1" applyFont="1" applyFill="1" applyBorder="1" applyAlignment="1">
      <alignment vertical="center"/>
    </xf>
    <xf numFmtId="164" fontId="5" fillId="17" borderId="46" xfId="0" applyNumberFormat="1" applyFont="1" applyFill="1" applyBorder="1" applyAlignment="1">
      <alignment vertical="center"/>
    </xf>
    <xf numFmtId="164" fontId="10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10" fontId="10" fillId="0" borderId="0" xfId="0" applyNumberFormat="1" applyFont="1" applyAlignment="1">
      <alignment horizontal="right" vertical="center"/>
    </xf>
    <xf numFmtId="0" fontId="10" fillId="0" borderId="0" xfId="0" applyFont="1"/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0" fillId="31" borderId="4" xfId="0" applyFont="1" applyFill="1" applyBorder="1" applyAlignment="1">
      <alignment horizontal="center" vertical="center" wrapText="1"/>
    </xf>
    <xf numFmtId="0" fontId="10" fillId="31" borderId="5" xfId="0" applyFont="1" applyFill="1" applyBorder="1" applyAlignment="1">
      <alignment vertical="center"/>
    </xf>
    <xf numFmtId="0" fontId="10" fillId="31" borderId="5" xfId="0" applyFont="1" applyFill="1" applyBorder="1"/>
    <xf numFmtId="0" fontId="10" fillId="31" borderId="6" xfId="0" applyFont="1" applyFill="1" applyBorder="1"/>
    <xf numFmtId="164" fontId="5" fillId="31" borderId="14" xfId="0" applyNumberFormat="1" applyFont="1" applyFill="1" applyBorder="1" applyAlignment="1">
      <alignment vertical="center"/>
    </xf>
    <xf numFmtId="0" fontId="10" fillId="31" borderId="14" xfId="0" applyFont="1" applyFill="1" applyBorder="1" applyAlignment="1">
      <alignment horizontal="right" vertical="center"/>
    </xf>
    <xf numFmtId="164" fontId="10" fillId="31" borderId="14" xfId="0" applyNumberFormat="1" applyFont="1" applyFill="1" applyBorder="1" applyAlignment="1">
      <alignment vertical="center"/>
    </xf>
    <xf numFmtId="164" fontId="10" fillId="31" borderId="14" xfId="0" applyNumberFormat="1" applyFont="1" applyFill="1" applyBorder="1" applyAlignment="1">
      <alignment horizontal="right" vertical="center"/>
    </xf>
    <xf numFmtId="10" fontId="10" fillId="31" borderId="14" xfId="0" applyNumberFormat="1" applyFont="1" applyFill="1" applyBorder="1" applyAlignment="1">
      <alignment horizontal="right" vertical="center"/>
    </xf>
    <xf numFmtId="0" fontId="6" fillId="12" borderId="4" xfId="0" applyFont="1" applyFill="1" applyBorder="1" applyAlignment="1">
      <alignment horizontal="center" vertical="center" wrapText="1"/>
    </xf>
    <xf numFmtId="0" fontId="7" fillId="12" borderId="5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164" fontId="6" fillId="12" borderId="14" xfId="0" applyNumberFormat="1" applyFont="1" applyFill="1" applyBorder="1" applyAlignment="1">
      <alignment horizontal="right" vertical="center" wrapText="1"/>
    </xf>
    <xf numFmtId="10" fontId="7" fillId="12" borderId="14" xfId="0" applyNumberFormat="1" applyFont="1" applyFill="1" applyBorder="1" applyAlignment="1">
      <alignment horizontal="right" vertical="center" wrapText="1"/>
    </xf>
    <xf numFmtId="10" fontId="6" fillId="13" borderId="14" xfId="0" applyNumberFormat="1" applyFont="1" applyFill="1" applyBorder="1" applyAlignment="1">
      <alignment horizontal="right" vertical="center" wrapText="1"/>
    </xf>
    <xf numFmtId="10" fontId="6" fillId="13" borderId="14" xfId="0" applyNumberFormat="1" applyFont="1" applyFill="1" applyBorder="1" applyAlignment="1">
      <alignment horizontal="right" vertical="center"/>
    </xf>
    <xf numFmtId="164" fontId="6" fillId="13" borderId="6" xfId="0" applyNumberFormat="1" applyFont="1" applyFill="1" applyBorder="1" applyAlignment="1">
      <alignment horizontal="right" wrapText="1"/>
    </xf>
    <xf numFmtId="10" fontId="7" fillId="13" borderId="6" xfId="0" applyNumberFormat="1" applyFont="1" applyFill="1" applyBorder="1" applyAlignment="1">
      <alignment horizontal="right" wrapText="1"/>
    </xf>
    <xf numFmtId="164" fontId="7" fillId="13" borderId="6" xfId="0" applyNumberFormat="1" applyFont="1" applyFill="1" applyBorder="1" applyAlignment="1">
      <alignment horizontal="right" wrapText="1"/>
    </xf>
    <xf numFmtId="10" fontId="7" fillId="13" borderId="6" xfId="0" applyNumberFormat="1" applyFont="1" applyFill="1" applyBorder="1" applyAlignment="1">
      <alignment horizontal="right"/>
    </xf>
    <xf numFmtId="0" fontId="6" fillId="13" borderId="27" xfId="0" applyFont="1" applyFill="1" applyBorder="1" applyAlignment="1">
      <alignment horizontal="center" vertical="center" wrapText="1"/>
    </xf>
    <xf numFmtId="0" fontId="7" fillId="13" borderId="28" xfId="0" applyFont="1" applyFill="1" applyBorder="1" applyAlignment="1">
      <alignment horizontal="center" vertical="center" wrapText="1"/>
    </xf>
    <xf numFmtId="0" fontId="6" fillId="13" borderId="28" xfId="0" applyFont="1" applyFill="1" applyBorder="1" applyAlignment="1">
      <alignment horizontal="center" vertical="center" wrapText="1"/>
    </xf>
    <xf numFmtId="0" fontId="1" fillId="13" borderId="24" xfId="0" applyFont="1" applyFill="1" applyBorder="1" applyAlignment="1">
      <alignment vertical="center" wrapText="1"/>
    </xf>
    <xf numFmtId="0" fontId="6" fillId="32" borderId="4" xfId="0" applyFont="1" applyFill="1" applyBorder="1" applyAlignment="1">
      <alignment horizontal="center" vertical="center" wrapText="1"/>
    </xf>
    <xf numFmtId="0" fontId="7" fillId="32" borderId="5" xfId="0" applyFont="1" applyFill="1" applyBorder="1" applyAlignment="1">
      <alignment horizontal="center" vertical="center" wrapText="1"/>
    </xf>
    <xf numFmtId="0" fontId="6" fillId="32" borderId="5" xfId="0" applyFont="1" applyFill="1" applyBorder="1" applyAlignment="1">
      <alignment horizontal="center" vertical="center" wrapText="1"/>
    </xf>
    <xf numFmtId="0" fontId="1" fillId="32" borderId="6" xfId="0" applyFont="1" applyFill="1" applyBorder="1" applyAlignment="1">
      <alignment vertical="center" wrapText="1"/>
    </xf>
    <xf numFmtId="164" fontId="6" fillId="32" borderId="6" xfId="0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164" fontId="7" fillId="14" borderId="0" xfId="0" applyNumberFormat="1" applyFont="1" applyFill="1" applyAlignment="1">
      <alignment horizontal="right" vertical="center"/>
    </xf>
    <xf numFmtId="0" fontId="24" fillId="33" borderId="1" xfId="0" applyFont="1" applyFill="1" applyBorder="1" applyAlignment="1">
      <alignment horizontal="center"/>
    </xf>
    <xf numFmtId="0" fontId="24" fillId="33" borderId="35" xfId="0" applyFont="1" applyFill="1" applyBorder="1" applyAlignment="1">
      <alignment horizontal="center"/>
    </xf>
    <xf numFmtId="0" fontId="25" fillId="34" borderId="0" xfId="0" applyFont="1" applyFill="1"/>
    <xf numFmtId="0" fontId="4" fillId="34" borderId="3" xfId="0" applyFont="1" applyFill="1" applyBorder="1"/>
    <xf numFmtId="164" fontId="4" fillId="34" borderId="3" xfId="0" applyNumberFormat="1" applyFont="1" applyFill="1" applyBorder="1" applyAlignment="1">
      <alignment horizontal="right"/>
    </xf>
    <xf numFmtId="165" fontId="4" fillId="34" borderId="3" xfId="0" applyNumberFormat="1" applyFont="1" applyFill="1" applyBorder="1" applyAlignment="1">
      <alignment horizontal="left"/>
    </xf>
    <xf numFmtId="0" fontId="4" fillId="34" borderId="3" xfId="0" applyFont="1" applyFill="1" applyBorder="1" applyAlignment="1">
      <alignment horizontal="left"/>
    </xf>
    <xf numFmtId="164" fontId="26" fillId="34" borderId="3" xfId="0" applyNumberFormat="1" applyFont="1" applyFill="1" applyBorder="1" applyAlignment="1">
      <alignment horizontal="right"/>
    </xf>
    <xf numFmtId="0" fontId="27" fillId="34" borderId="0" xfId="0" applyFont="1" applyFill="1"/>
    <xf numFmtId="0" fontId="3" fillId="34" borderId="3" xfId="0" applyFont="1" applyFill="1" applyBorder="1"/>
    <xf numFmtId="169" fontId="4" fillId="34" borderId="3" xfId="0" applyNumberFormat="1" applyFont="1" applyFill="1" applyBorder="1" applyAlignment="1">
      <alignment horizontal="right"/>
    </xf>
    <xf numFmtId="164" fontId="4" fillId="34" borderId="3" xfId="0" applyNumberFormat="1" applyFont="1" applyFill="1" applyBorder="1"/>
    <xf numFmtId="0" fontId="28" fillId="34" borderId="3" xfId="0" applyFont="1" applyFill="1" applyBorder="1"/>
    <xf numFmtId="0" fontId="28" fillId="34" borderId="3" xfId="0" applyFont="1" applyFill="1" applyBorder="1" applyAlignment="1">
      <alignment horizontal="right"/>
    </xf>
    <xf numFmtId="165" fontId="4" fillId="34" borderId="3" xfId="0" applyNumberFormat="1" applyFont="1" applyFill="1" applyBorder="1"/>
    <xf numFmtId="169" fontId="28" fillId="34" borderId="3" xfId="0" applyNumberFormat="1" applyFont="1" applyFill="1" applyBorder="1"/>
    <xf numFmtId="165" fontId="28" fillId="34" borderId="3" xfId="0" applyNumberFormat="1" applyFont="1" applyFill="1" applyBorder="1"/>
    <xf numFmtId="170" fontId="28" fillId="34" borderId="3" xfId="0" applyNumberFormat="1" applyFont="1" applyFill="1" applyBorder="1"/>
    <xf numFmtId="164" fontId="27" fillId="34" borderId="0" xfId="0" applyNumberFormat="1" applyFont="1" applyFill="1"/>
    <xf numFmtId="0" fontId="29" fillId="0" borderId="0" xfId="0" applyFont="1"/>
    <xf numFmtId="0" fontId="30" fillId="0" borderId="0" xfId="0" applyFont="1"/>
    <xf numFmtId="0" fontId="31" fillId="34" borderId="3" xfId="0" applyFont="1" applyFill="1" applyBorder="1"/>
    <xf numFmtId="0" fontId="4" fillId="5" borderId="1" xfId="0" applyFont="1" applyFill="1" applyBorder="1" applyAlignment="1">
      <alignment horizontal="center"/>
    </xf>
    <xf numFmtId="0" fontId="4" fillId="5" borderId="35" xfId="0" applyFont="1" applyFill="1" applyBorder="1" applyAlignment="1">
      <alignment horizontal="center"/>
    </xf>
    <xf numFmtId="164" fontId="4" fillId="5" borderId="3" xfId="0" applyNumberFormat="1" applyFont="1" applyFill="1" applyBorder="1"/>
    <xf numFmtId="10" fontId="4" fillId="5" borderId="3" xfId="0" applyNumberFormat="1" applyFont="1" applyFill="1" applyBorder="1"/>
    <xf numFmtId="0" fontId="4" fillId="5" borderId="3" xfId="0" applyFont="1" applyFill="1" applyBorder="1"/>
    <xf numFmtId="0" fontId="28" fillId="0" borderId="0" xfId="0" applyFont="1" applyAlignment="1"/>
    <xf numFmtId="0" fontId="26" fillId="5" borderId="0" xfId="0" applyFont="1" applyFill="1" applyAlignment="1"/>
    <xf numFmtId="0" fontId="26" fillId="5" borderId="0" xfId="0" applyFont="1" applyFill="1" applyAlignment="1">
      <alignment horizontal="center"/>
    </xf>
    <xf numFmtId="164" fontId="26" fillId="5" borderId="0" xfId="0" applyNumberFormat="1" applyFont="1" applyFill="1" applyAlignment="1"/>
    <xf numFmtId="0" fontId="26" fillId="4" borderId="0" xfId="0" applyFont="1" applyFill="1" applyAlignment="1">
      <alignment horizontal="left"/>
    </xf>
    <xf numFmtId="164" fontId="26" fillId="4" borderId="0" xfId="0" applyNumberFormat="1" applyFont="1" applyFill="1" applyAlignment="1"/>
    <xf numFmtId="0" fontId="28" fillId="5" borderId="0" xfId="0" applyFont="1" applyFill="1" applyAlignment="1"/>
    <xf numFmtId="0" fontId="25" fillId="0" borderId="0" xfId="0" applyFont="1" applyAlignment="1">
      <alignment horizontal="center"/>
    </xf>
    <xf numFmtId="0" fontId="32" fillId="33" borderId="0" xfId="0" applyFont="1" applyFill="1" applyAlignment="1">
      <alignment horizontal="center"/>
    </xf>
    <xf numFmtId="0" fontId="25" fillId="5" borderId="0" xfId="0" applyFont="1" applyFill="1"/>
    <xf numFmtId="0" fontId="25" fillId="5" borderId="0" xfId="0" applyFont="1" applyFill="1" applyAlignment="1">
      <alignment horizontal="center"/>
    </xf>
    <xf numFmtId="0" fontId="25" fillId="5" borderId="0" xfId="0" applyFont="1" applyFill="1" applyAlignment="1">
      <alignment horizontal="left"/>
    </xf>
    <xf numFmtId="164" fontId="25" fillId="5" borderId="0" xfId="0" applyNumberFormat="1" applyFont="1" applyFill="1"/>
    <xf numFmtId="164" fontId="28" fillId="5" borderId="0" xfId="0" applyNumberFormat="1" applyFont="1" applyFill="1" applyAlignment="1"/>
    <xf numFmtId="164" fontId="27" fillId="5" borderId="0" xfId="0" applyNumberFormat="1" applyFont="1" applyFill="1" applyAlignment="1">
      <alignment horizontal="center"/>
    </xf>
    <xf numFmtId="0" fontId="28" fillId="5" borderId="0" xfId="0" applyFont="1" applyFill="1" applyAlignment="1">
      <alignment horizontal="left"/>
    </xf>
    <xf numFmtId="0" fontId="34" fillId="33" borderId="0" xfId="0" applyFont="1" applyFill="1"/>
    <xf numFmtId="0" fontId="26" fillId="5" borderId="0" xfId="0" applyFont="1" applyFill="1" applyAlignment="1">
      <alignment horizontal="center"/>
    </xf>
    <xf numFmtId="0" fontId="34" fillId="5" borderId="0" xfId="0" applyFont="1" applyFill="1" applyAlignment="1"/>
    <xf numFmtId="164" fontId="35" fillId="5" borderId="0" xfId="0" applyNumberFormat="1" applyFont="1" applyFill="1" applyAlignment="1"/>
    <xf numFmtId="164" fontId="34" fillId="5" borderId="0" xfId="0" applyNumberFormat="1" applyFont="1" applyFill="1"/>
    <xf numFmtId="164" fontId="26" fillId="5" borderId="0" xfId="0" applyNumberFormat="1" applyFont="1" applyFill="1" applyAlignment="1"/>
    <xf numFmtId="0" fontId="34" fillId="5" borderId="0" xfId="0" applyFont="1" applyFill="1"/>
    <xf numFmtId="0" fontId="36" fillId="5" borderId="0" xfId="0" applyFont="1" applyFill="1" applyAlignment="1">
      <alignment horizontal="center"/>
    </xf>
    <xf numFmtId="0" fontId="26" fillId="23" borderId="0" xfId="0" applyFont="1" applyFill="1" applyAlignment="1"/>
    <xf numFmtId="164" fontId="26" fillId="23" borderId="0" xfId="0" applyNumberFormat="1" applyFont="1" applyFill="1" applyAlignment="1">
      <alignment horizontal="center"/>
    </xf>
    <xf numFmtId="164" fontId="36" fillId="23" borderId="0" xfId="0" applyNumberFormat="1" applyFont="1" applyFill="1" applyAlignment="1">
      <alignment horizontal="center"/>
    </xf>
    <xf numFmtId="0" fontId="26" fillId="5" borderId="0" xfId="0" applyFont="1" applyFill="1" applyAlignment="1"/>
    <xf numFmtId="164" fontId="26" fillId="5" borderId="0" xfId="0" applyNumberFormat="1" applyFont="1" applyFill="1" applyAlignment="1">
      <alignment horizontal="center"/>
    </xf>
    <xf numFmtId="0" fontId="26" fillId="23" borderId="0" xfId="0" applyFont="1" applyFill="1" applyAlignment="1"/>
    <xf numFmtId="164" fontId="26" fillId="23" borderId="0" xfId="0" applyNumberFormat="1" applyFont="1" applyFill="1" applyAlignment="1">
      <alignment horizontal="center"/>
    </xf>
    <xf numFmtId="0" fontId="26" fillId="5" borderId="0" xfId="0" applyFont="1" applyFill="1" applyAlignment="1">
      <alignment wrapText="1"/>
    </xf>
    <xf numFmtId="0" fontId="26" fillId="23" borderId="0" xfId="0" applyFont="1" applyFill="1" applyAlignment="1">
      <alignment horizontal="center"/>
    </xf>
    <xf numFmtId="10" fontId="26" fillId="5" borderId="0" xfId="0" applyNumberFormat="1" applyFont="1" applyFill="1" applyAlignment="1">
      <alignment horizontal="center"/>
    </xf>
    <xf numFmtId="10" fontId="36" fillId="5" borderId="0" xfId="0" applyNumberFormat="1" applyFont="1" applyFill="1" applyAlignment="1">
      <alignment horizontal="center"/>
    </xf>
    <xf numFmtId="0" fontId="36" fillId="3" borderId="0" xfId="0" applyFont="1" applyFill="1"/>
    <xf numFmtId="0" fontId="36" fillId="3" borderId="0" xfId="0" applyFont="1" applyFill="1" applyAlignment="1"/>
    <xf numFmtId="0" fontId="36" fillId="3" borderId="0" xfId="0" applyFont="1" applyFill="1" applyAlignment="1">
      <alignment horizontal="center"/>
    </xf>
    <xf numFmtId="0" fontId="36" fillId="5" borderId="0" xfId="0" applyFont="1" applyFill="1" applyAlignment="1"/>
    <xf numFmtId="0" fontId="36" fillId="5" borderId="0" xfId="0" applyFont="1" applyFill="1"/>
    <xf numFmtId="164" fontId="36" fillId="5" borderId="0" xfId="0" applyNumberFormat="1" applyFont="1" applyFill="1"/>
    <xf numFmtId="10" fontId="36" fillId="5" borderId="0" xfId="0" applyNumberFormat="1" applyFont="1" applyFill="1"/>
    <xf numFmtId="0" fontId="7" fillId="14" borderId="0" xfId="0" applyFont="1" applyFill="1" applyAlignment="1">
      <alignment vertical="center" wrapText="1"/>
    </xf>
    <xf numFmtId="0" fontId="34" fillId="14" borderId="0" xfId="0" applyFont="1" applyFill="1"/>
    <xf numFmtId="164" fontId="34" fillId="14" borderId="0" xfId="0" applyNumberFormat="1" applyFont="1" applyFill="1"/>
    <xf numFmtId="10" fontId="34" fillId="14" borderId="0" xfId="0" applyNumberFormat="1" applyFont="1" applyFill="1"/>
    <xf numFmtId="0" fontId="34" fillId="0" borderId="0" xfId="0" applyFont="1"/>
    <xf numFmtId="0" fontId="38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10" fontId="36" fillId="0" borderId="0" xfId="0" applyNumberFormat="1" applyFont="1"/>
    <xf numFmtId="164" fontId="34" fillId="0" borderId="0" xfId="0" applyNumberFormat="1" applyFont="1"/>
    <xf numFmtId="0" fontId="2" fillId="0" borderId="2" xfId="0" applyFont="1" applyBorder="1"/>
    <xf numFmtId="164" fontId="1" fillId="14" borderId="4" xfId="0" applyNumberFormat="1" applyFont="1" applyFill="1" applyBorder="1" applyAlignment="1">
      <alignment horizontal="left" vertical="center"/>
    </xf>
    <xf numFmtId="0" fontId="2" fillId="0" borderId="6" xfId="0" applyFont="1" applyBorder="1"/>
    <xf numFmtId="164" fontId="1" fillId="30" borderId="4" xfId="0" applyNumberFormat="1" applyFont="1" applyFill="1" applyBorder="1" applyAlignment="1">
      <alignment horizontal="left" vertical="center"/>
    </xf>
    <xf numFmtId="0" fontId="2" fillId="0" borderId="5" xfId="0" applyFont="1" applyBorder="1"/>
    <xf numFmtId="164" fontId="5" fillId="18" borderId="5" xfId="0" applyNumberFormat="1" applyFont="1" applyFill="1" applyBorder="1" applyAlignment="1">
      <alignment horizontal="left" vertical="center"/>
    </xf>
    <xf numFmtId="164" fontId="1" fillId="19" borderId="4" xfId="0" applyNumberFormat="1" applyFont="1" applyFill="1" applyBorder="1" applyAlignment="1">
      <alignment horizontal="left" vertical="center"/>
    </xf>
    <xf numFmtId="164" fontId="1" fillId="19" borderId="4" xfId="0" applyNumberFormat="1" applyFont="1" applyFill="1" applyBorder="1" applyAlignment="1">
      <alignment horizontal="center" vertical="center"/>
    </xf>
    <xf numFmtId="0" fontId="1" fillId="29" borderId="4" xfId="0" applyFont="1" applyFill="1" applyBorder="1" applyAlignment="1">
      <alignment horizontal="center"/>
    </xf>
    <xf numFmtId="164" fontId="5" fillId="14" borderId="36" xfId="0" applyNumberFormat="1" applyFont="1" applyFill="1" applyBorder="1" applyAlignment="1">
      <alignment horizontal="right" vertical="center"/>
    </xf>
    <xf numFmtId="0" fontId="0" fillId="0" borderId="0" xfId="0" applyFont="1" applyAlignment="1"/>
    <xf numFmtId="0" fontId="2" fillId="0" borderId="37" xfId="0" applyFont="1" applyBorder="1"/>
    <xf numFmtId="0" fontId="2" fillId="0" borderId="36" xfId="0" applyFont="1" applyBorder="1"/>
    <xf numFmtId="0" fontId="2" fillId="0" borderId="32" xfId="0" applyFont="1" applyBorder="1"/>
    <xf numFmtId="0" fontId="2" fillId="0" borderId="43" xfId="0" applyFont="1" applyBorder="1"/>
    <xf numFmtId="0" fontId="2" fillId="0" borderId="30" xfId="0" applyFont="1" applyBorder="1"/>
    <xf numFmtId="0" fontId="23" fillId="17" borderId="38" xfId="0" applyFont="1" applyFill="1" applyBorder="1" applyAlignment="1">
      <alignment horizontal="center" vertical="center"/>
    </xf>
    <xf numFmtId="0" fontId="2" fillId="0" borderId="41" xfId="0" applyFont="1" applyBorder="1"/>
    <xf numFmtId="0" fontId="2" fillId="0" borderId="44" xfId="0" applyFont="1" applyBorder="1"/>
    <xf numFmtId="164" fontId="1" fillId="9" borderId="10" xfId="0" applyNumberFormat="1" applyFont="1" applyFill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164" fontId="1" fillId="9" borderId="13" xfId="0" applyNumberFormat="1" applyFont="1" applyFill="1" applyBorder="1" applyAlignment="1">
      <alignment horizontal="center" vertical="center" wrapText="1"/>
    </xf>
    <xf numFmtId="0" fontId="2" fillId="0" borderId="16" xfId="0" applyFont="1" applyBorder="1"/>
    <xf numFmtId="164" fontId="1" fillId="9" borderId="4" xfId="0" applyNumberFormat="1" applyFont="1" applyFill="1" applyBorder="1" applyAlignment="1">
      <alignment horizontal="center" vertical="center"/>
    </xf>
    <xf numFmtId="164" fontId="5" fillId="9" borderId="7" xfId="0" applyNumberFormat="1" applyFont="1" applyFill="1" applyBorder="1" applyAlignment="1">
      <alignment horizontal="center" vertical="center"/>
    </xf>
    <xf numFmtId="0" fontId="2" fillId="0" borderId="8" xfId="0" applyFont="1" applyBorder="1"/>
    <xf numFmtId="0" fontId="2" fillId="0" borderId="9" xfId="0" applyFont="1" applyBorder="1"/>
    <xf numFmtId="164" fontId="1" fillId="10" borderId="4" xfId="0" applyNumberFormat="1" applyFont="1" applyFill="1" applyBorder="1" applyAlignment="1">
      <alignment horizontal="center" vertical="center"/>
    </xf>
    <xf numFmtId="164" fontId="1" fillId="10" borderId="10" xfId="0" applyNumberFormat="1" applyFont="1" applyFill="1" applyBorder="1" applyAlignment="1">
      <alignment horizontal="center" vertical="center"/>
    </xf>
    <xf numFmtId="164" fontId="5" fillId="10" borderId="10" xfId="0" applyNumberFormat="1" applyFont="1" applyFill="1" applyBorder="1" applyAlignment="1">
      <alignment horizontal="center" vertical="center"/>
    </xf>
    <xf numFmtId="10" fontId="1" fillId="7" borderId="10" xfId="0" applyNumberFormat="1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right" vertical="center"/>
    </xf>
    <xf numFmtId="164" fontId="6" fillId="8" borderId="4" xfId="0" applyNumberFormat="1" applyFont="1" applyFill="1" applyBorder="1" applyAlignment="1">
      <alignment horizontal="center" vertical="center" wrapText="1"/>
    </xf>
    <xf numFmtId="165" fontId="1" fillId="18" borderId="4" xfId="0" applyNumberFormat="1" applyFont="1" applyFill="1" applyBorder="1" applyAlignment="1">
      <alignment horizontal="right" vertical="center"/>
    </xf>
    <xf numFmtId="164" fontId="1" fillId="18" borderId="4" xfId="0" applyNumberFormat="1" applyFont="1" applyFill="1" applyBorder="1" applyAlignment="1">
      <alignment horizontal="center" vertical="center"/>
    </xf>
    <xf numFmtId="164" fontId="1" fillId="20" borderId="4" xfId="0" applyNumberFormat="1" applyFont="1" applyFill="1" applyBorder="1" applyAlignment="1">
      <alignment horizontal="center" vertical="center"/>
    </xf>
    <xf numFmtId="164" fontId="1" fillId="21" borderId="4" xfId="0" applyNumberFormat="1" applyFont="1" applyFill="1" applyBorder="1" applyAlignment="1">
      <alignment horizontal="center" vertical="center"/>
    </xf>
    <xf numFmtId="164" fontId="1" fillId="22" borderId="4" xfId="0" applyNumberFormat="1" applyFont="1" applyFill="1" applyBorder="1" applyAlignment="1">
      <alignment horizontal="center" vertical="center"/>
    </xf>
    <xf numFmtId="164" fontId="5" fillId="18" borderId="4" xfId="0" applyNumberFormat="1" applyFont="1" applyFill="1" applyBorder="1" applyAlignment="1">
      <alignment horizontal="center" vertical="center"/>
    </xf>
    <xf numFmtId="164" fontId="10" fillId="20" borderId="4" xfId="0" applyNumberFormat="1" applyFont="1" applyFill="1" applyBorder="1" applyAlignment="1">
      <alignment horizontal="center" vertical="center"/>
    </xf>
    <xf numFmtId="164" fontId="1" fillId="28" borderId="4" xfId="0" applyNumberFormat="1" applyFont="1" applyFill="1" applyBorder="1" applyAlignment="1">
      <alignment horizontal="center" vertical="center"/>
    </xf>
    <xf numFmtId="164" fontId="1" fillId="29" borderId="4" xfId="0" applyNumberFormat="1" applyFont="1" applyFill="1" applyBorder="1" applyAlignment="1">
      <alignment horizontal="center" vertical="center"/>
    </xf>
    <xf numFmtId="0" fontId="24" fillId="33" borderId="0" xfId="0" applyFont="1" applyFill="1" applyAlignment="1">
      <alignment horizontal="center"/>
    </xf>
    <xf numFmtId="0" fontId="33" fillId="33" borderId="0" xfId="0" applyFont="1" applyFill="1" applyAlignment="1">
      <alignment horizontal="center"/>
    </xf>
    <xf numFmtId="0" fontId="37" fillId="33" borderId="0" xfId="0" applyFont="1" applyFill="1" applyAlignment="1">
      <alignment horizontal="center"/>
    </xf>
    <xf numFmtId="0" fontId="38" fillId="33" borderId="0" xfId="0" applyFont="1" applyFill="1" applyAlignment="1">
      <alignment horizontal="center"/>
    </xf>
    <xf numFmtId="0" fontId="24" fillId="33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5" fillId="12" borderId="6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80"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174D-4E47-9FCF-74408CEB04CD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</c:spPr>
            <c:extLst>
              <c:ext xmlns:c16="http://schemas.microsoft.com/office/drawing/2014/chart" uri="{C3380CC4-5D6E-409C-BE32-E72D297353CC}">
                <c16:uniqueId val="{00000003-174D-4E47-9FCF-74408CEB04CD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</c:spPr>
            <c:extLst>
              <c:ext xmlns:c16="http://schemas.microsoft.com/office/drawing/2014/chart" uri="{C3380CC4-5D6E-409C-BE32-E72D297353CC}">
                <c16:uniqueId val="{00000005-174D-4E47-9FCF-74408CEB04CD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</c:spPr>
            <c:extLst>
              <c:ext xmlns:c16="http://schemas.microsoft.com/office/drawing/2014/chart" uri="{C3380CC4-5D6E-409C-BE32-E72D297353CC}">
                <c16:uniqueId val="{00000007-174D-4E47-9FCF-74408CEB04CD}"/>
              </c:ext>
            </c:extLst>
          </c:dPt>
          <c:dPt>
            <c:idx val="4"/>
            <c:bubble3D val="0"/>
            <c:spPr>
              <a:solidFill>
                <a:srgbClr val="4BACC6"/>
              </a:solidFill>
            </c:spPr>
            <c:extLst>
              <c:ext xmlns:c16="http://schemas.microsoft.com/office/drawing/2014/chart" uri="{C3380CC4-5D6E-409C-BE32-E72D297353CC}">
                <c16:uniqueId val="{00000009-174D-4E47-9FCF-74408CEB04CD}"/>
              </c:ext>
            </c:extLst>
          </c:dPt>
          <c:cat>
            <c:strRef>
              <c:f>'Gráficos '!$B$34:$B$38</c:f>
              <c:strCache>
                <c:ptCount val="5"/>
                <c:pt idx="0">
                  <c:v>DG - DIREÇÃO GERAL</c:v>
                </c:pt>
                <c:pt idx="1">
                  <c:v>DAD - DIRETORIA DE ADMINISTRAÇÃO</c:v>
                </c:pt>
                <c:pt idx="2">
                  <c:v>DPDI - DIRETORIA DE PLANEJ E DESENV INSTITUCIONAL</c:v>
                </c:pt>
                <c:pt idx="3">
                  <c:v>DE - DIRETORIA DE ENSINO</c:v>
                </c:pt>
                <c:pt idx="4">
                  <c:v>DPEP - DIRETORIA DE PESQUISA, EXTENSÃO E PRODUÇÃO</c:v>
                </c:pt>
              </c:strCache>
            </c:strRef>
          </c:cat>
          <c:val>
            <c:numRef>
              <c:f>'Gráficos '!$C$34:$C$38</c:f>
              <c:numCache>
                <c:formatCode>_([$R$ -416]* #,##0.00_);_([$R$ -416]* \(#,##0.00\);_([$R$ -416]* "-"??_);_(@_)</c:formatCode>
                <c:ptCount val="5"/>
                <c:pt idx="0">
                  <c:v>10000</c:v>
                </c:pt>
                <c:pt idx="1">
                  <c:v>2516834.44</c:v>
                </c:pt>
                <c:pt idx="2">
                  <c:v>275926.01</c:v>
                </c:pt>
                <c:pt idx="3">
                  <c:v>503059.22</c:v>
                </c:pt>
                <c:pt idx="4">
                  <c:v>1603337.5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74D-4E47-9FCF-74408CEB04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>
        <c:manualLayout>
          <c:xMode val="edge"/>
          <c:yMode val="edge"/>
          <c:x val="0.17351229299930324"/>
          <c:y val="0.76311027159340927"/>
          <c:w val="0.6529752044467495"/>
          <c:h val="0.21532638608853136"/>
        </c:manualLayout>
      </c:layout>
      <c:overlay val="0"/>
      <c:txPr>
        <a:bodyPr/>
        <a:lstStyle/>
        <a:p>
          <a:pPr lvl="0">
            <a:defRPr sz="700"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E06666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'!$H$63:$H$66</c:f>
              <c:strCache>
                <c:ptCount val="4"/>
                <c:pt idx="0">
                  <c:v>RAPs - INSCRITOS</c:v>
                </c:pt>
                <c:pt idx="1">
                  <c:v>RAPs - PAGOS</c:v>
                </c:pt>
                <c:pt idx="2">
                  <c:v>RAPs - SALDO</c:v>
                </c:pt>
                <c:pt idx="3">
                  <c:v>RAPs - ANULADOS</c:v>
                </c:pt>
              </c:strCache>
            </c:strRef>
          </c:cat>
          <c:val>
            <c:numRef>
              <c:f>'Gráficos '!$I$63:$I$66</c:f>
              <c:numCache>
                <c:formatCode>_([$R$ -416]* #,##0.00_);_([$R$ -416]* \(#,##0.00\);_([$R$ -416]* "-"??_);_(@_)</c:formatCode>
                <c:ptCount val="4"/>
                <c:pt idx="0">
                  <c:v>1710512.2999999998</c:v>
                </c:pt>
                <c:pt idx="1">
                  <c:v>1382597.13</c:v>
                </c:pt>
                <c:pt idx="2">
                  <c:v>327915.16999999993</c:v>
                </c:pt>
                <c:pt idx="3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3574-4B93-9D21-297B06FC65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20733562"/>
        <c:axId val="527710947"/>
      </c:barChart>
      <c:catAx>
        <c:axId val="92073356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527710947"/>
        <c:crosses val="autoZero"/>
        <c:auto val="1"/>
        <c:lblAlgn val="ctr"/>
        <c:lblOffset val="100"/>
        <c:noMultiLvlLbl val="1"/>
      </c:catAx>
      <c:valAx>
        <c:axId val="52771094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_([$R$ -416]* #,##0.00_);_([$R$ -416]* \(#,##0.00\);_([$R$ -416]* &quot;-&quot;??_);_(@_)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920733562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FF83-4A5A-96D1-10F939353E2B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</c:spPr>
            <c:extLst>
              <c:ext xmlns:c16="http://schemas.microsoft.com/office/drawing/2014/chart" uri="{C3380CC4-5D6E-409C-BE32-E72D297353CC}">
                <c16:uniqueId val="{00000003-FF83-4A5A-96D1-10F939353E2B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</c:spPr>
            <c:extLst>
              <c:ext xmlns:c16="http://schemas.microsoft.com/office/drawing/2014/chart" uri="{C3380CC4-5D6E-409C-BE32-E72D297353CC}">
                <c16:uniqueId val="{00000005-FF83-4A5A-96D1-10F939353E2B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</c:spPr>
            <c:extLst>
              <c:ext xmlns:c16="http://schemas.microsoft.com/office/drawing/2014/chart" uri="{C3380CC4-5D6E-409C-BE32-E72D297353CC}">
                <c16:uniqueId val="{00000007-FF83-4A5A-96D1-10F939353E2B}"/>
              </c:ext>
            </c:extLst>
          </c:dPt>
          <c:dPt>
            <c:idx val="4"/>
            <c:bubble3D val="0"/>
            <c:spPr>
              <a:solidFill>
                <a:srgbClr val="4BACC6"/>
              </a:solidFill>
            </c:spPr>
            <c:extLst>
              <c:ext xmlns:c16="http://schemas.microsoft.com/office/drawing/2014/chart" uri="{C3380CC4-5D6E-409C-BE32-E72D297353CC}">
                <c16:uniqueId val="{00000009-FF83-4A5A-96D1-10F939353E2B}"/>
              </c:ext>
            </c:extLst>
          </c:dPt>
          <c:dPt>
            <c:idx val="5"/>
            <c:bubble3D val="0"/>
            <c:spPr>
              <a:solidFill>
                <a:srgbClr val="F79646"/>
              </a:solidFill>
            </c:spPr>
            <c:extLst>
              <c:ext xmlns:c16="http://schemas.microsoft.com/office/drawing/2014/chart" uri="{C3380CC4-5D6E-409C-BE32-E72D297353CC}">
                <c16:uniqueId val="{0000000B-FF83-4A5A-96D1-10F939353E2B}"/>
              </c:ext>
            </c:extLst>
          </c:dPt>
          <c:cat>
            <c:strRef>
              <c:f>'Gráficos '!$K$62:$K$67</c:f>
              <c:strCache>
                <c:ptCount val="6"/>
                <c:pt idx="0">
                  <c:v> FUNCIONAMENTO </c:v>
                </c:pt>
                <c:pt idx="1">
                  <c:v> AE - RIP </c:v>
                </c:pt>
                <c:pt idx="2">
                  <c:v> AE - AUXÍLIOS </c:v>
                </c:pt>
                <c:pt idx="3">
                  <c:v> FNDE </c:v>
                </c:pt>
                <c:pt idx="4">
                  <c:v> RECEITA PRÓPRIA </c:v>
                </c:pt>
                <c:pt idx="5">
                  <c:v> PNE </c:v>
                </c:pt>
              </c:strCache>
            </c:strRef>
          </c:cat>
          <c:val>
            <c:numRef>
              <c:f>'Gráficos '!$L$62:$L$67</c:f>
              <c:numCache>
                <c:formatCode>_([$R$ -416]* #,##0.00_);_([$R$ -416]* \(#,##0.00\);_([$R$ -416]* "-"??_);_(@_)</c:formatCode>
                <c:ptCount val="6"/>
                <c:pt idx="0">
                  <c:v>4748487.9800000004</c:v>
                </c:pt>
                <c:pt idx="1">
                  <c:v>1883092.55</c:v>
                </c:pt>
                <c:pt idx="2">
                  <c:v>725293</c:v>
                </c:pt>
                <c:pt idx="3">
                  <c:v>266193.2</c:v>
                </c:pt>
                <c:pt idx="4">
                  <c:v>105626</c:v>
                </c:pt>
                <c:pt idx="5">
                  <c:v>92404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F83-4A5A-96D1-10F939353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'Gráficos '!$L$89</c:f>
              <c:strCache>
                <c:ptCount val="1"/>
                <c:pt idx="0">
                  <c:v>RECEITAS</c:v>
                </c:pt>
              </c:strCache>
            </c:strRef>
          </c:tx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'!$K$90:$K$95</c:f>
              <c:strCache>
                <c:ptCount val="6"/>
                <c:pt idx="0">
                  <c:v> FUNCIONAMENTO </c:v>
                </c:pt>
                <c:pt idx="1">
                  <c:v> AE - RIP </c:v>
                </c:pt>
                <c:pt idx="2">
                  <c:v> AE - AUXÍLIOS </c:v>
                </c:pt>
                <c:pt idx="3">
                  <c:v> FNDE </c:v>
                </c:pt>
                <c:pt idx="4">
                  <c:v> RECEITA PRÓPRIA </c:v>
                </c:pt>
                <c:pt idx="5">
                  <c:v> PNE </c:v>
                </c:pt>
              </c:strCache>
            </c:strRef>
          </c:cat>
          <c:val>
            <c:numRef>
              <c:f>'Gráficos '!$L$90:$L$95</c:f>
              <c:numCache>
                <c:formatCode>_([$R$ -416]* #,##0.00_);_([$R$ -416]* \(#,##0.00\);_([$R$ -416]* "-"??_);_(@_)</c:formatCode>
                <c:ptCount val="6"/>
                <c:pt idx="0">
                  <c:v>4748487.9800000004</c:v>
                </c:pt>
                <c:pt idx="1">
                  <c:v>1883092.55</c:v>
                </c:pt>
                <c:pt idx="2">
                  <c:v>725293</c:v>
                </c:pt>
                <c:pt idx="3">
                  <c:v>266193.2</c:v>
                </c:pt>
                <c:pt idx="4">
                  <c:v>105626</c:v>
                </c:pt>
                <c:pt idx="5">
                  <c:v>92404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7251-465E-9581-01DF006EA138}"/>
            </c:ext>
          </c:extLst>
        </c:ser>
        <c:ser>
          <c:idx val="1"/>
          <c:order val="1"/>
          <c:tx>
            <c:strRef>
              <c:f>'Gráficos '!$M$89</c:f>
              <c:strCache>
                <c:ptCount val="1"/>
                <c:pt idx="0">
                  <c:v>DESPESAS</c:v>
                </c:pt>
              </c:strCache>
            </c:strRef>
          </c:tx>
          <c:spPr>
            <a:solidFill>
              <a:srgbClr val="C0504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'!$K$90:$K$95</c:f>
              <c:strCache>
                <c:ptCount val="6"/>
                <c:pt idx="0">
                  <c:v> FUNCIONAMENTO </c:v>
                </c:pt>
                <c:pt idx="1">
                  <c:v> AE - RIP </c:v>
                </c:pt>
                <c:pt idx="2">
                  <c:v> AE - AUXÍLIOS </c:v>
                </c:pt>
                <c:pt idx="3">
                  <c:v> FNDE </c:v>
                </c:pt>
                <c:pt idx="4">
                  <c:v> RECEITA PRÓPRIA </c:v>
                </c:pt>
                <c:pt idx="5">
                  <c:v> PNE </c:v>
                </c:pt>
              </c:strCache>
            </c:strRef>
          </c:cat>
          <c:val>
            <c:numRef>
              <c:f>'Gráficos '!$M$90:$M$95</c:f>
              <c:numCache>
                <c:formatCode>_([$R$ -416]* #,##0.00_);_([$R$ -416]* \(#,##0.00\);_([$R$ -416]* "-"??_);_(@_)</c:formatCode>
                <c:ptCount val="6"/>
                <c:pt idx="0">
                  <c:v>4433298.0300000012</c:v>
                </c:pt>
                <c:pt idx="1">
                  <c:v>1722069.55</c:v>
                </c:pt>
                <c:pt idx="2">
                  <c:v>725293</c:v>
                </c:pt>
                <c:pt idx="3">
                  <c:v>0</c:v>
                </c:pt>
                <c:pt idx="4">
                  <c:v>101292.6</c:v>
                </c:pt>
                <c:pt idx="5">
                  <c:v>92404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7251-465E-9581-01DF006EA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3710631"/>
        <c:axId val="713173560"/>
      </c:barChart>
      <c:catAx>
        <c:axId val="21371063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713173560"/>
        <c:crosses val="autoZero"/>
        <c:auto val="1"/>
        <c:lblAlgn val="ctr"/>
        <c:lblOffset val="100"/>
        <c:noMultiLvlLbl val="1"/>
      </c:catAx>
      <c:valAx>
        <c:axId val="71317356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_([$R$ -416]* #,##0.00_);_([$R$ -416]* \(#,##0.00\);_([$R$ -416]* &quot;-&quot;??_);_(@_)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13710631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bar"/>
        <c:grouping val="clustered"/>
        <c:varyColors val="1"/>
        <c:ser>
          <c:idx val="0"/>
          <c:order val="0"/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'!$K$115:$K$122</c:f>
              <c:strCache>
                <c:ptCount val="8"/>
                <c:pt idx="0">
                  <c:v>EXECUÇÃO DA DESPESA - EMPENHADAS E PAGAS</c:v>
                </c:pt>
                <c:pt idx="2">
                  <c:v> FUNCIONAMENTO </c:v>
                </c:pt>
                <c:pt idx="3">
                  <c:v> AE - RIP </c:v>
                </c:pt>
                <c:pt idx="4">
                  <c:v> AE - AUXÍLIOS </c:v>
                </c:pt>
                <c:pt idx="5">
                  <c:v> FNDE </c:v>
                </c:pt>
                <c:pt idx="6">
                  <c:v> RECEITA PRÓPRIA </c:v>
                </c:pt>
                <c:pt idx="7">
                  <c:v> PNE </c:v>
                </c:pt>
              </c:strCache>
            </c:strRef>
          </c:cat>
          <c:val>
            <c:numRef>
              <c:f>'Gráficos '!$L$115:$L$122</c:f>
              <c:numCache>
                <c:formatCode>General</c:formatCode>
                <c:ptCount val="8"/>
                <c:pt idx="1">
                  <c:v>0</c:v>
                </c:pt>
                <c:pt idx="2" formatCode="_([$R$ -416]* #,##0.00_);_([$R$ -416]* \(#,##0.00\);_([$R$ -416]* &quot;-&quot;??_);_(@_)">
                  <c:v>4433298.0300000012</c:v>
                </c:pt>
                <c:pt idx="3" formatCode="_([$R$ -416]* #,##0.00_);_([$R$ -416]* \(#,##0.00\);_([$R$ -416]* &quot;-&quot;??_);_(@_)">
                  <c:v>1722069.55</c:v>
                </c:pt>
                <c:pt idx="4" formatCode="_([$R$ -416]* #,##0.00_);_([$R$ -416]* \(#,##0.00\);_([$R$ -416]* &quot;-&quot;??_);_(@_)">
                  <c:v>725293</c:v>
                </c:pt>
                <c:pt idx="5" formatCode="_([$R$ -416]* #,##0.00_);_([$R$ -416]* \(#,##0.00\);_([$R$ -416]* &quot;-&quot;??_);_(@_)">
                  <c:v>0</c:v>
                </c:pt>
                <c:pt idx="6" formatCode="_([$R$ -416]* #,##0.00_);_([$R$ -416]* \(#,##0.00\);_([$R$ -416]* &quot;-&quot;??_);_(@_)">
                  <c:v>101292.6</c:v>
                </c:pt>
                <c:pt idx="7" formatCode="_([$R$ -416]* #,##0.00_);_([$R$ -416]* \(#,##0.00\);_([$R$ -416]* &quot;-&quot;??_);_(@_)">
                  <c:v>92404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0655-4A50-850B-E2C3AD2D1B19}"/>
            </c:ext>
          </c:extLst>
        </c:ser>
        <c:ser>
          <c:idx val="1"/>
          <c:order val="1"/>
          <c:spPr>
            <a:solidFill>
              <a:srgbClr val="C0504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'!$K$115:$K$122</c:f>
              <c:strCache>
                <c:ptCount val="8"/>
                <c:pt idx="0">
                  <c:v>EXECUÇÃO DA DESPESA - EMPENHADAS E PAGAS</c:v>
                </c:pt>
                <c:pt idx="2">
                  <c:v> FUNCIONAMENTO </c:v>
                </c:pt>
                <c:pt idx="3">
                  <c:v> AE - RIP </c:v>
                </c:pt>
                <c:pt idx="4">
                  <c:v> AE - AUXÍLIOS </c:v>
                </c:pt>
                <c:pt idx="5">
                  <c:v> FNDE </c:v>
                </c:pt>
                <c:pt idx="6">
                  <c:v> RECEITA PRÓPRIA </c:v>
                </c:pt>
                <c:pt idx="7">
                  <c:v> PNE </c:v>
                </c:pt>
              </c:strCache>
            </c:strRef>
          </c:cat>
          <c:val>
            <c:numRef>
              <c:f>'Gráficos '!$M$115:$M$122</c:f>
              <c:numCache>
                <c:formatCode>General</c:formatCode>
                <c:ptCount val="8"/>
                <c:pt idx="1">
                  <c:v>0</c:v>
                </c:pt>
                <c:pt idx="2" formatCode="_([$R$ -416]* #,##0.00_);_([$R$ -416]* \(#,##0.00\);_([$R$ -416]* &quot;-&quot;??_);_(@_)">
                  <c:v>0</c:v>
                </c:pt>
                <c:pt idx="3" formatCode="_([$R$ -416]* #,##0.00_);_([$R$ -416]* \(#,##0.00\);_([$R$ -416]* &quot;-&quot;??_);_(@_)">
                  <c:v>0</c:v>
                </c:pt>
                <c:pt idx="4" formatCode="_([$R$ -416]* #,##0.00_);_([$R$ -416]* \(#,##0.00\);_([$R$ -416]* &quot;-&quot;??_);_(@_)">
                  <c:v>0</c:v>
                </c:pt>
                <c:pt idx="5" formatCode="_([$R$ -416]* #,##0.00_);_([$R$ -416]* \(#,##0.00\);_([$R$ -416]* &quot;-&quot;??_);_(@_)">
                  <c:v>0</c:v>
                </c:pt>
                <c:pt idx="6" formatCode="_([$R$ -416]* #,##0.00_);_([$R$ -416]* \(#,##0.00\);_([$R$ -416]* &quot;-&quot;??_);_(@_)">
                  <c:v>0</c:v>
                </c:pt>
                <c:pt idx="7" formatCode="_([$R$ -416]* #,##0.00_);_([$R$ -416]* \(#,##0.00\);_([$R$ -416]* &quot;-&quot;??_);_(@_)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0655-4A50-850B-E2C3AD2D1B19}"/>
            </c:ext>
          </c:extLst>
        </c:ser>
        <c:ser>
          <c:idx val="2"/>
          <c:order val="2"/>
          <c:spPr>
            <a:solidFill>
              <a:srgbClr val="9BBB59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'!$K$115:$K$122</c:f>
              <c:strCache>
                <c:ptCount val="8"/>
                <c:pt idx="0">
                  <c:v>EXECUÇÃO DA DESPESA - EMPENHADAS E PAGAS</c:v>
                </c:pt>
                <c:pt idx="2">
                  <c:v> FUNCIONAMENTO </c:v>
                </c:pt>
                <c:pt idx="3">
                  <c:v> AE - RIP </c:v>
                </c:pt>
                <c:pt idx="4">
                  <c:v> AE - AUXÍLIOS </c:v>
                </c:pt>
                <c:pt idx="5">
                  <c:v> FNDE </c:v>
                </c:pt>
                <c:pt idx="6">
                  <c:v> RECEITA PRÓPRIA </c:v>
                </c:pt>
                <c:pt idx="7">
                  <c:v> PNE </c:v>
                </c:pt>
              </c:strCache>
            </c:strRef>
          </c:cat>
          <c:val>
            <c:numRef>
              <c:f>'Gráficos '!$N$115:$N$122</c:f>
              <c:numCache>
                <c:formatCode>General</c:formatCode>
                <c:ptCount val="8"/>
                <c:pt idx="0">
                  <c:v>2023</c:v>
                </c:pt>
                <c:pt idx="1">
                  <c:v>0</c:v>
                </c:pt>
                <c:pt idx="2" formatCode="_([$R$ -416]* #,##0.00_);_([$R$ -416]* \(#,##0.00\);_([$R$ -416]* &quot;-&quot;??_);_(@_)">
                  <c:v>4433298.0300000012</c:v>
                </c:pt>
                <c:pt idx="3" formatCode="_([$R$ -416]* #,##0.00_);_([$R$ -416]* \(#,##0.00\);_([$R$ -416]* &quot;-&quot;??_);_(@_)">
                  <c:v>1722069.55</c:v>
                </c:pt>
                <c:pt idx="4" formatCode="_([$R$ -416]* #,##0.00_);_([$R$ -416]* \(#,##0.00\);_([$R$ -416]* &quot;-&quot;??_);_(@_)">
                  <c:v>725293</c:v>
                </c:pt>
                <c:pt idx="5" formatCode="_([$R$ -416]* #,##0.00_);_([$R$ -416]* \(#,##0.00\);_([$R$ -416]* &quot;-&quot;??_);_(@_)">
                  <c:v>0</c:v>
                </c:pt>
                <c:pt idx="6" formatCode="_([$R$ -416]* #,##0.00_);_([$R$ -416]* \(#,##0.00\);_([$R$ -416]* &quot;-&quot;??_);_(@_)">
                  <c:v>101292.6</c:v>
                </c:pt>
                <c:pt idx="7" formatCode="_([$R$ -416]* #,##0.00_);_([$R$ -416]* \(#,##0.00\);_([$R$ -416]* &quot;-&quot;??_);_(@_)">
                  <c:v>92404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0655-4A50-850B-E2C3AD2D1B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7956514"/>
        <c:axId val="266135431"/>
      </c:barChart>
      <c:catAx>
        <c:axId val="1927956514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66135431"/>
        <c:crosses val="autoZero"/>
        <c:auto val="1"/>
        <c:lblAlgn val="ctr"/>
        <c:lblOffset val="100"/>
        <c:noMultiLvlLbl val="1"/>
      </c:catAx>
      <c:valAx>
        <c:axId val="266135431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927956514"/>
        <c:crosses val="max"/>
        <c:crossBetween val="between"/>
      </c:valAx>
    </c:plotArea>
    <c:legend>
      <c:legendPos val="r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bar"/>
        <c:grouping val="percentStacked"/>
        <c:varyColors val="1"/>
        <c:ser>
          <c:idx val="0"/>
          <c:order val="0"/>
          <c:tx>
            <c:strRef>
              <c:f>'Gráficos '!$L$143</c:f>
              <c:strCache>
                <c:ptCount val="1"/>
                <c:pt idx="0">
                  <c:v>RAPs PAGOS</c:v>
                </c:pt>
              </c:strCache>
            </c:strRef>
          </c:tx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'!$K$144:$K$149</c:f>
              <c:strCache>
                <c:ptCount val="6"/>
                <c:pt idx="0">
                  <c:v>ORÇAMENTO MATRIZ</c:v>
                </c:pt>
                <c:pt idx="1">
                  <c:v>ASSISTÊNCIA ESTUDANTIL</c:v>
                </c:pt>
                <c:pt idx="2">
                  <c:v>FNDE</c:v>
                </c:pt>
                <c:pt idx="3">
                  <c:v>RECEITAS PRÓPRIAS</c:v>
                </c:pt>
                <c:pt idx="4">
                  <c:v>OUTRAS FONTES</c:v>
                </c:pt>
                <c:pt idx="5">
                  <c:v>TOTAIS</c:v>
                </c:pt>
              </c:strCache>
            </c:strRef>
          </c:cat>
          <c:val>
            <c:numRef>
              <c:f>'Gráficos '!$L$144:$L$149</c:f>
              <c:numCache>
                <c:formatCode>_([$R$ -416]* #,##0.00_);_([$R$ -416]* \(#,##0.00\);_([$R$ -416]* "-"??_);_(@_)</c:formatCode>
                <c:ptCount val="6"/>
                <c:pt idx="0">
                  <c:v>563060.24000000011</c:v>
                </c:pt>
                <c:pt idx="1">
                  <c:v>272155.85999999993</c:v>
                </c:pt>
                <c:pt idx="2">
                  <c:v>54646.899999999994</c:v>
                </c:pt>
                <c:pt idx="3">
                  <c:v>149509.72999999998</c:v>
                </c:pt>
                <c:pt idx="4">
                  <c:v>343224.4</c:v>
                </c:pt>
                <c:pt idx="5">
                  <c:v>1382597.1300000001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804D-4C4B-9573-7F6EAA446620}"/>
            </c:ext>
          </c:extLst>
        </c:ser>
        <c:ser>
          <c:idx val="1"/>
          <c:order val="1"/>
          <c:tx>
            <c:strRef>
              <c:f>'Gráficos '!$M$143</c:f>
              <c:strCache>
                <c:ptCount val="1"/>
                <c:pt idx="0">
                  <c:v>NEs PAGOS</c:v>
                </c:pt>
              </c:strCache>
            </c:strRef>
          </c:tx>
          <c:spPr>
            <a:solidFill>
              <a:srgbClr val="C0504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'!$K$144:$K$149</c:f>
              <c:strCache>
                <c:ptCount val="6"/>
                <c:pt idx="0">
                  <c:v>ORÇAMENTO MATRIZ</c:v>
                </c:pt>
                <c:pt idx="1">
                  <c:v>ASSISTÊNCIA ESTUDANTIL</c:v>
                </c:pt>
                <c:pt idx="2">
                  <c:v>FNDE</c:v>
                </c:pt>
                <c:pt idx="3">
                  <c:v>RECEITAS PRÓPRIAS</c:v>
                </c:pt>
                <c:pt idx="4">
                  <c:v>OUTRAS FONTES</c:v>
                </c:pt>
                <c:pt idx="5">
                  <c:v>TOTAIS</c:v>
                </c:pt>
              </c:strCache>
            </c:strRef>
          </c:cat>
          <c:val>
            <c:numRef>
              <c:f>'Gráficos '!$M$144:$M$149</c:f>
              <c:numCache>
                <c:formatCode>_([$R$ -416]* #,##0.00_);_([$R$ -416]* \(#,##0.00\);_([$R$ -416]* "-"??_);_(@_)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804D-4C4B-9573-7F6EAA446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98082947"/>
        <c:axId val="1000566563"/>
      </c:barChart>
      <c:catAx>
        <c:axId val="498082947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 i="0">
                    <a:solidFill>
                      <a:srgbClr val="000000"/>
                    </a:solidFill>
                    <a:latin typeface="+mn-lt"/>
                  </a:rPr>
                  <a:t>EXECUÇÃO DA DESPESA - EMPENHO DO ANO + RAP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000566563"/>
        <c:crosses val="autoZero"/>
        <c:auto val="1"/>
        <c:lblAlgn val="ctr"/>
        <c:lblOffset val="100"/>
        <c:noMultiLvlLbl val="1"/>
      </c:catAx>
      <c:valAx>
        <c:axId val="1000566563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498082947"/>
        <c:crosses val="max"/>
        <c:crossBetween val="between"/>
      </c:valAx>
    </c:plotArea>
    <c:legend>
      <c:legendPos val="r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bar"/>
        <c:grouping val="percentStacked"/>
        <c:varyColors val="1"/>
        <c:ser>
          <c:idx val="0"/>
          <c:order val="0"/>
          <c:tx>
            <c:strRef>
              <c:f>'Gráficos '!$L$170</c:f>
              <c:strCache>
                <c:ptCount val="1"/>
                <c:pt idx="0">
                  <c:v>RAPs PAGOS</c:v>
                </c:pt>
              </c:strCache>
            </c:strRef>
          </c:tx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'!$K$171:$K$183</c:f>
              <c:strCache>
                <c:ptCount val="13"/>
                <c:pt idx="0">
                  <c:v>Díarias e Passagens</c:v>
                </c:pt>
                <c:pt idx="1">
                  <c:v>Auxílios Financeiros a Estudantes</c:v>
                </c:pt>
                <c:pt idx="2">
                  <c:v>Material de Consumo</c:v>
                </c:pt>
                <c:pt idx="3">
                  <c:v>Serviços Pessoa Física</c:v>
                </c:pt>
                <c:pt idx="4">
                  <c:v>Serviços Terceirizados com Mão de Obra</c:v>
                </c:pt>
                <c:pt idx="5">
                  <c:v>Serviços Terceirizados por Demanda</c:v>
                </c:pt>
                <c:pt idx="6">
                  <c:v>Serviços de Energia Elétrica</c:v>
                </c:pt>
                <c:pt idx="7">
                  <c:v>Serviços de Tecnologia da Informação</c:v>
                </c:pt>
                <c:pt idx="8">
                  <c:v>Obrigações Tributárias e Previdenciárias</c:v>
                </c:pt>
                <c:pt idx="9">
                  <c:v>Outras Despesas Correntes</c:v>
                </c:pt>
                <c:pt idx="10">
                  <c:v>Obras e Instalações</c:v>
                </c:pt>
                <c:pt idx="11">
                  <c:v>Equipamentos e Material Permanente</c:v>
                </c:pt>
                <c:pt idx="12">
                  <c:v>TOTAIS</c:v>
                </c:pt>
              </c:strCache>
            </c:strRef>
          </c:cat>
          <c:val>
            <c:numRef>
              <c:f>'Gráficos '!$L$171:$L$183</c:f>
              <c:numCache>
                <c:formatCode>_([$R$ -416]* #,##0.00_);_([$R$ -416]* \(#,##0.00\);_([$R$ -416]* "-"??_);_(@_)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401758.26</c:v>
                </c:pt>
                <c:pt idx="3">
                  <c:v>0</c:v>
                </c:pt>
                <c:pt idx="4">
                  <c:v>270964.13999999996</c:v>
                </c:pt>
                <c:pt idx="5">
                  <c:v>67507.899999999994</c:v>
                </c:pt>
                <c:pt idx="6">
                  <c:v>43586.67</c:v>
                </c:pt>
                <c:pt idx="7">
                  <c:v>21350.3</c:v>
                </c:pt>
                <c:pt idx="8">
                  <c:v>490.41</c:v>
                </c:pt>
                <c:pt idx="9">
                  <c:v>0</c:v>
                </c:pt>
                <c:pt idx="10">
                  <c:v>0</c:v>
                </c:pt>
                <c:pt idx="11">
                  <c:v>576939.44999999995</c:v>
                </c:pt>
                <c:pt idx="12">
                  <c:v>1382597.13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18B4-4328-9BCF-1BCB24CF707D}"/>
            </c:ext>
          </c:extLst>
        </c:ser>
        <c:ser>
          <c:idx val="1"/>
          <c:order val="1"/>
          <c:tx>
            <c:strRef>
              <c:f>'Gráficos '!$M$170</c:f>
              <c:strCache>
                <c:ptCount val="1"/>
                <c:pt idx="0">
                  <c:v>NEs PAGOS</c:v>
                </c:pt>
              </c:strCache>
            </c:strRef>
          </c:tx>
          <c:spPr>
            <a:solidFill>
              <a:srgbClr val="C0504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'!$K$171:$K$183</c:f>
              <c:strCache>
                <c:ptCount val="13"/>
                <c:pt idx="0">
                  <c:v>Díarias e Passagens</c:v>
                </c:pt>
                <c:pt idx="1">
                  <c:v>Auxílios Financeiros a Estudantes</c:v>
                </c:pt>
                <c:pt idx="2">
                  <c:v>Material de Consumo</c:v>
                </c:pt>
                <c:pt idx="3">
                  <c:v>Serviços Pessoa Física</c:v>
                </c:pt>
                <c:pt idx="4">
                  <c:v>Serviços Terceirizados com Mão de Obra</c:v>
                </c:pt>
                <c:pt idx="5">
                  <c:v>Serviços Terceirizados por Demanda</c:v>
                </c:pt>
                <c:pt idx="6">
                  <c:v>Serviços de Energia Elétrica</c:v>
                </c:pt>
                <c:pt idx="7">
                  <c:v>Serviços de Tecnologia da Informação</c:v>
                </c:pt>
                <c:pt idx="8">
                  <c:v>Obrigações Tributárias e Previdenciárias</c:v>
                </c:pt>
                <c:pt idx="9">
                  <c:v>Outras Despesas Correntes</c:v>
                </c:pt>
                <c:pt idx="10">
                  <c:v>Obras e Instalações</c:v>
                </c:pt>
                <c:pt idx="11">
                  <c:v>Equipamentos e Material Permanente</c:v>
                </c:pt>
                <c:pt idx="12">
                  <c:v>TOTAIS</c:v>
                </c:pt>
              </c:strCache>
            </c:strRef>
          </c:cat>
          <c:val>
            <c:numRef>
              <c:f>'Gráficos '!$M$171:$M$183</c:f>
              <c:numCache>
                <c:formatCode>_([$R$ -416]* #,##0.00_);_([$R$ -416]* \(#,##0.00\);_([$R$ -416]* "-"??_);_(@_)</c:formatCode>
                <c:ptCount val="13"/>
                <c:pt idx="0">
                  <c:v>20458.530000000002</c:v>
                </c:pt>
                <c:pt idx="1">
                  <c:v>239746</c:v>
                </c:pt>
                <c:pt idx="2">
                  <c:v>475012.34000000014</c:v>
                </c:pt>
                <c:pt idx="3">
                  <c:v>0</c:v>
                </c:pt>
                <c:pt idx="4">
                  <c:v>1505563.81</c:v>
                </c:pt>
                <c:pt idx="5">
                  <c:v>41330.17</c:v>
                </c:pt>
                <c:pt idx="6">
                  <c:v>218886.61000000002</c:v>
                </c:pt>
                <c:pt idx="7">
                  <c:v>32294.760000000002</c:v>
                </c:pt>
                <c:pt idx="8">
                  <c:v>467.33</c:v>
                </c:pt>
                <c:pt idx="9">
                  <c:v>7057.14</c:v>
                </c:pt>
                <c:pt idx="10">
                  <c:v>0</c:v>
                </c:pt>
                <c:pt idx="11">
                  <c:v>86007</c:v>
                </c:pt>
                <c:pt idx="12">
                  <c:v>2626823.69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18B4-4328-9BCF-1BCB24CF70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43496944"/>
        <c:axId val="1833847518"/>
      </c:barChart>
      <c:catAx>
        <c:axId val="643496944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>
                    <a:solidFill>
                      <a:srgbClr val="000000"/>
                    </a:solidFill>
                    <a:latin typeface="+mn-lt"/>
                  </a:rPr>
                  <a:t>DESPESAS PREDOMINANTES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833847518"/>
        <c:crosses val="autoZero"/>
        <c:auto val="1"/>
        <c:lblAlgn val="ctr"/>
        <c:lblOffset val="100"/>
        <c:noMultiLvlLbl val="1"/>
      </c:catAx>
      <c:valAx>
        <c:axId val="1833847518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643496944"/>
        <c:crosses val="max"/>
        <c:crossBetween val="between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3C33-426A-9697-EF4F7A5E80BC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</c:spPr>
            <c:extLst>
              <c:ext xmlns:c16="http://schemas.microsoft.com/office/drawing/2014/chart" uri="{C3380CC4-5D6E-409C-BE32-E72D297353CC}">
                <c16:uniqueId val="{00000003-3C33-426A-9697-EF4F7A5E80BC}"/>
              </c:ext>
            </c:extLst>
          </c:dPt>
          <c:dPt>
            <c:idx val="2"/>
            <c:bubble3D val="0"/>
            <c:spPr>
              <a:solidFill>
                <a:srgbClr val="FF9900"/>
              </a:solidFill>
            </c:spPr>
            <c:extLst>
              <c:ext xmlns:c16="http://schemas.microsoft.com/office/drawing/2014/chart" uri="{C3380CC4-5D6E-409C-BE32-E72D297353CC}">
                <c16:uniqueId val="{00000005-3C33-426A-9697-EF4F7A5E80BC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'Gráficos '!$H$117:$H$119</c:f>
              <c:strCache>
                <c:ptCount val="3"/>
                <c:pt idx="0">
                  <c:v>RESTOS A PAGAR - EXERCÍCIOS ANTERIORES</c:v>
                </c:pt>
                <c:pt idx="1">
                  <c:v>RESTOS A PAGAR DO EXERCÍCIO - LIQUIDADOS A PAGAR </c:v>
                </c:pt>
                <c:pt idx="2">
                  <c:v>RESTOS A PAGAR DO EXERCÍCIO - NÃO LIQUIDADOS</c:v>
                </c:pt>
              </c:strCache>
            </c:strRef>
          </c:cat>
          <c:val>
            <c:numRef>
              <c:f>'Gráficos '!$I$117:$I$119</c:f>
              <c:numCache>
                <c:formatCode>_([$R$ -416]* #,##0.00_);_([$R$ -416]* \(#,##0.00\);_([$R$ -416]* "-"??_);_(@_)</c:formatCode>
                <c:ptCount val="3"/>
                <c:pt idx="0">
                  <c:v>327915.17000000004</c:v>
                </c:pt>
                <c:pt idx="1">
                  <c:v>2646545.2599999998</c:v>
                </c:pt>
                <c:pt idx="2">
                  <c:v>4361073.6399999997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C33-426A-9697-EF4F7A5E8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b"/>
      <c:layout/>
      <c:overlay val="0"/>
      <c:txPr>
        <a:bodyPr/>
        <a:lstStyle/>
        <a:p>
          <a:pPr lvl="0">
            <a:defRPr sz="1000" b="0" i="0">
              <a:solidFill>
                <a:srgbClr val="1A1A1A"/>
              </a:solidFill>
              <a:latin typeface="Arial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bar"/>
        <c:grouping val="clustered"/>
        <c:varyColors val="1"/>
        <c:ser>
          <c:idx val="0"/>
          <c:order val="0"/>
          <c:spPr>
            <a:solidFill>
              <a:srgbClr val="6AA84F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'!$H$171:$H$182</c:f>
              <c:strCache>
                <c:ptCount val="12"/>
                <c:pt idx="0">
                  <c:v>Díarias e Passagens</c:v>
                </c:pt>
                <c:pt idx="1">
                  <c:v>Auxílios Financeiros a Estudantes</c:v>
                </c:pt>
                <c:pt idx="2">
                  <c:v>Material de Consumo</c:v>
                </c:pt>
                <c:pt idx="3">
                  <c:v>Serviços Pessoa Física</c:v>
                </c:pt>
                <c:pt idx="4">
                  <c:v>Serviços Terceirizados com Mão de Obra</c:v>
                </c:pt>
                <c:pt idx="5">
                  <c:v>Serviços Terceirizados por Demanda</c:v>
                </c:pt>
                <c:pt idx="6">
                  <c:v>Serviços de Energia Elétrica</c:v>
                </c:pt>
                <c:pt idx="7">
                  <c:v>Serviços de Tecnologia da Informação</c:v>
                </c:pt>
                <c:pt idx="8">
                  <c:v>Obrigações Tributárias e Previdenciárias</c:v>
                </c:pt>
                <c:pt idx="9">
                  <c:v>Outras Despesas Correntes</c:v>
                </c:pt>
                <c:pt idx="10">
                  <c:v>Obras e Instalações</c:v>
                </c:pt>
                <c:pt idx="11">
                  <c:v>Equipamentos e Material Permanente</c:v>
                </c:pt>
              </c:strCache>
            </c:strRef>
          </c:cat>
          <c:val>
            <c:numRef>
              <c:f>'Gráficos '!$I$171:$I$182</c:f>
              <c:numCache>
                <c:formatCode>_([$R$ -416]* #,##0.00_);_([$R$ -416]* \(#,##0.00\);_([$R$ -416]* "-"??_);_(@_)</c:formatCode>
                <c:ptCount val="12"/>
                <c:pt idx="0">
                  <c:v>29900</c:v>
                </c:pt>
                <c:pt idx="1">
                  <c:v>909647</c:v>
                </c:pt>
                <c:pt idx="2">
                  <c:v>888587.62000000023</c:v>
                </c:pt>
                <c:pt idx="3">
                  <c:v>3528</c:v>
                </c:pt>
                <c:pt idx="4">
                  <c:v>3640599.22</c:v>
                </c:pt>
                <c:pt idx="5">
                  <c:v>822924.50000000012</c:v>
                </c:pt>
                <c:pt idx="6">
                  <c:v>649824.63</c:v>
                </c:pt>
                <c:pt idx="7">
                  <c:v>193431.47</c:v>
                </c:pt>
                <c:pt idx="8">
                  <c:v>2503.63</c:v>
                </c:pt>
                <c:pt idx="9">
                  <c:v>23817.35</c:v>
                </c:pt>
                <c:pt idx="10">
                  <c:v>0</c:v>
                </c:pt>
                <c:pt idx="11">
                  <c:v>141098.65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A10D-47C3-A518-3506E6540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3287999"/>
        <c:axId val="635103576"/>
      </c:barChart>
      <c:catAx>
        <c:axId val="553287999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635103576"/>
        <c:crosses val="autoZero"/>
        <c:auto val="1"/>
        <c:lblAlgn val="ctr"/>
        <c:lblOffset val="100"/>
        <c:noMultiLvlLbl val="1"/>
      </c:catAx>
      <c:valAx>
        <c:axId val="635103576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_([$R$ -416]* #,##0.00_);_([$R$ -416]* \(#,##0.00\);_([$R$ -416]* &quot;-&quot;??_);_(@_)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553287999"/>
        <c:crosses val="max"/>
        <c:crossBetween val="between"/>
      </c:valAx>
    </c:plotArea>
    <c:legend>
      <c:legendPos val="r"/>
      <c:overlay val="0"/>
      <c:txPr>
        <a:bodyPr/>
        <a:lstStyle/>
        <a:p>
          <a:pPr lvl="0">
            <a:defRPr sz="1000" b="0" i="0">
              <a:solidFill>
                <a:srgbClr val="1A1A1A"/>
              </a:solidFill>
              <a:latin typeface="Arial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lineChart>
        <c:grouping val="standard"/>
        <c:varyColors val="1"/>
        <c:ser>
          <c:idx val="0"/>
          <c:order val="0"/>
          <c:tx>
            <c:strRef>
              <c:f>'Gráficos '!$P$171</c:f>
              <c:strCache>
                <c:ptCount val="1"/>
                <c:pt idx="0">
                  <c:v>ORÇAMENTO MATRIZ</c:v>
                </c:pt>
              </c:strCache>
            </c:strRef>
          </c:tx>
          <c:spPr>
            <a:ln w="76200" cmpd="sng">
              <a:solidFill>
                <a:srgbClr val="0000FF">
                  <a:alpha val="100000"/>
                </a:srgbClr>
              </a:solidFill>
            </a:ln>
          </c:spPr>
          <c:marker>
            <c:symbol val="none"/>
          </c:marker>
          <c:cat>
            <c:numRef>
              <c:f>'Gráficos '!$Q$170:$T$170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'Gráficos '!$Q$171:$T$171</c:f>
              <c:numCache>
                <c:formatCode>_([$R$ -416]* #,##0.00_);_([$R$ -416]* \(#,##0.00\);_([$R$ -416]* "-"??_);_(@_)</c:formatCode>
                <c:ptCount val="4"/>
                <c:pt idx="0">
                  <c:v>5160027.01</c:v>
                </c:pt>
                <c:pt idx="1">
                  <c:v>4095939.68</c:v>
                </c:pt>
                <c:pt idx="2">
                  <c:v>4124319</c:v>
                </c:pt>
                <c:pt idx="3">
                  <c:v>4909157.17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05-4BC5-A727-E2DAB5E6C093}"/>
            </c:ext>
          </c:extLst>
        </c:ser>
        <c:ser>
          <c:idx val="1"/>
          <c:order val="1"/>
          <c:tx>
            <c:strRef>
              <c:f>'Gráficos '!$P$172</c:f>
              <c:strCache>
                <c:ptCount val="1"/>
                <c:pt idx="0">
                  <c:v>ORÇAMENTO MATRIZ - CORRIGIDO</c:v>
                </c:pt>
              </c:strCache>
            </c:strRef>
          </c:tx>
          <c:spPr>
            <a:ln w="76200" cmpd="sng">
              <a:solidFill>
                <a:srgbClr val="FF0000">
                  <a:alpha val="100000"/>
                </a:srgbClr>
              </a:solidFill>
            </a:ln>
          </c:spPr>
          <c:marker>
            <c:symbol val="none"/>
          </c:marker>
          <c:cat>
            <c:numRef>
              <c:f>'Gráficos '!$Q$170:$T$170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'Gráficos '!$Q$172:$T$172</c:f>
              <c:numCache>
                <c:formatCode>_([$R$ -416]* #,##0.00_);_([$R$ -416]* \(#,##0.00\);_([$R$ -416]* "-"??_);_(@_)</c:formatCode>
                <c:ptCount val="4"/>
                <c:pt idx="0">
                  <c:v>5382424.1741309995</c:v>
                </c:pt>
                <c:pt idx="1">
                  <c:v>5625709.7468017209</c:v>
                </c:pt>
                <c:pt idx="2">
                  <c:v>6191656.147329974</c:v>
                </c:pt>
                <c:pt idx="3">
                  <c:v>6549533.8726456463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05-4BC5-A727-E2DAB5E6C093}"/>
            </c:ext>
          </c:extLst>
        </c:ser>
        <c:ser>
          <c:idx val="2"/>
          <c:order val="2"/>
          <c:tx>
            <c:strRef>
              <c:f>'Gráficos '!$P$173</c:f>
              <c:strCache>
                <c:ptCount val="1"/>
                <c:pt idx="0">
                  <c:v>ASSISTÊNCIA ESTUDANTIL</c:v>
                </c:pt>
              </c:strCache>
            </c:strRef>
          </c:tx>
          <c:spPr>
            <a:ln w="76200" cmpd="sng">
              <a:solidFill>
                <a:srgbClr val="00FF00">
                  <a:alpha val="100000"/>
                </a:srgbClr>
              </a:solidFill>
            </a:ln>
          </c:spPr>
          <c:marker>
            <c:symbol val="none"/>
          </c:marker>
          <c:cat>
            <c:numRef>
              <c:f>'Gráficos '!$Q$170:$T$170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'Gráficos '!$Q$173:$T$173</c:f>
              <c:numCache>
                <c:formatCode>_([$R$ -416]* #,##0.00_);_([$R$ -416]* \(#,##0.00\);_([$R$ -416]* "-"??_);_(@_)</c:formatCode>
                <c:ptCount val="4"/>
                <c:pt idx="0">
                  <c:v>2933203.15</c:v>
                </c:pt>
                <c:pt idx="1">
                  <c:v>2971059.39</c:v>
                </c:pt>
                <c:pt idx="2">
                  <c:v>2759944.87</c:v>
                </c:pt>
                <c:pt idx="3">
                  <c:v>2073197.3100000003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05-4BC5-A727-E2DAB5E6C093}"/>
            </c:ext>
          </c:extLst>
        </c:ser>
        <c:ser>
          <c:idx val="3"/>
          <c:order val="3"/>
          <c:tx>
            <c:strRef>
              <c:f>'Gráficos '!$P$174</c:f>
              <c:strCache>
                <c:ptCount val="1"/>
                <c:pt idx="0">
                  <c:v>ASSIST ESTUDANTIL - CORRIGIDO</c:v>
                </c:pt>
              </c:strCache>
            </c:strRef>
          </c:tx>
          <c:spPr>
            <a:ln w="76200" cmpd="sng">
              <a:solidFill>
                <a:srgbClr val="FF00FF">
                  <a:alpha val="100000"/>
                </a:srgbClr>
              </a:solidFill>
            </a:ln>
          </c:spPr>
          <c:marker>
            <c:symbol val="none"/>
          </c:marker>
          <c:cat>
            <c:numRef>
              <c:f>'Gráficos '!$Q$170:$T$170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'Gráficos '!$Q$174:$T$174</c:f>
              <c:numCache>
                <c:formatCode>_([$R$ -416]* #,##0.00_);_([$R$ -416]* \(#,##0.00\);_([$R$ -416]* "-"??_);_(@_)</c:formatCode>
                <c:ptCount val="4"/>
                <c:pt idx="0">
                  <c:v>3059624.2057650001</c:v>
                </c:pt>
                <c:pt idx="1">
                  <c:v>3197919.2198655782</c:v>
                </c:pt>
                <c:pt idx="2">
                  <c:v>3342465.1686035022</c:v>
                </c:pt>
                <c:pt idx="3">
                  <c:v>3493544.5942243803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605-4BC5-A727-E2DAB5E6C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7546643"/>
        <c:axId val="1773280302"/>
      </c:lineChart>
      <c:catAx>
        <c:axId val="66754664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773280302"/>
        <c:crosses val="autoZero"/>
        <c:auto val="1"/>
        <c:lblAlgn val="ctr"/>
        <c:lblOffset val="100"/>
        <c:noMultiLvlLbl val="1"/>
      </c:catAx>
      <c:valAx>
        <c:axId val="177328030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_([$R$ -416]* #,##0.00_);_([$R$ -416]* \(#,##0.00\);_([$R$ -416]* &quot;-&quot;??_);_(@_)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667546643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1000" b="1">
              <a:solidFill>
                <a:srgbClr val="000000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spPr>
    <a:solidFill>
      <a:schemeClr val="lt1"/>
    </a:solidFill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bar"/>
        <c:grouping val="percentStacked"/>
        <c:varyColors val="1"/>
        <c:ser>
          <c:idx val="0"/>
          <c:order val="0"/>
          <c:tx>
            <c:strRef>
              <c:f>'Gráficos '!$Q$143</c:f>
              <c:strCache>
                <c:ptCount val="1"/>
                <c:pt idx="0">
                  <c:v>RAPs</c:v>
                </c:pt>
              </c:strCache>
            </c:strRef>
          </c:tx>
          <c:spPr>
            <a:solidFill>
              <a:srgbClr val="93C47D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b="1">
                    <a:solidFill>
                      <a:srgbClr val="FFFFFF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'Gráficos '!$P$144:$P$148</c:f>
              <c:strCache>
                <c:ptCount val="5"/>
                <c:pt idx="0">
                  <c:v>ORÇAMENTO MATRIZ</c:v>
                </c:pt>
                <c:pt idx="1">
                  <c:v>ASSISTÊNCIA ESTUDANTIL</c:v>
                </c:pt>
                <c:pt idx="2">
                  <c:v>FNDE</c:v>
                </c:pt>
                <c:pt idx="3">
                  <c:v>RECEITAS PRÓPRIAS</c:v>
                </c:pt>
                <c:pt idx="4">
                  <c:v>OUTRAS FONTES</c:v>
                </c:pt>
              </c:strCache>
            </c:strRef>
          </c:cat>
          <c:val>
            <c:numRef>
              <c:f>'Gráficos '!$Q$144:$Q$148</c:f>
              <c:numCache>
                <c:formatCode>_([$R$ -416]* #,##0.00_);_([$R$ -416]* \(#,##0.00\);_([$R$ -416]* "-"??_);_(@_)</c:formatCode>
                <c:ptCount val="5"/>
                <c:pt idx="0">
                  <c:v>832450.71999999974</c:v>
                </c:pt>
                <c:pt idx="1">
                  <c:v>379792.59999999992</c:v>
                </c:pt>
                <c:pt idx="2">
                  <c:v>70259.799999999988</c:v>
                </c:pt>
                <c:pt idx="3">
                  <c:v>258299.43000000002</c:v>
                </c:pt>
                <c:pt idx="4">
                  <c:v>343634.4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B96C-4F71-8338-4C6578F27A79}"/>
            </c:ext>
          </c:extLst>
        </c:ser>
        <c:ser>
          <c:idx val="1"/>
          <c:order val="1"/>
          <c:tx>
            <c:strRef>
              <c:f>'Gráficos '!$R$143</c:f>
              <c:strCache>
                <c:ptCount val="1"/>
                <c:pt idx="0">
                  <c:v>Orçamento</c:v>
                </c:pt>
              </c:strCache>
            </c:strRef>
          </c:tx>
          <c:spPr>
            <a:solidFill>
              <a:srgbClr val="0000FF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3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96C-4F71-8338-4C6578F27A79}"/>
              </c:ext>
            </c:extLst>
          </c:dPt>
          <c:dPt>
            <c:idx val="4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2-B96C-4F71-8338-4C6578F27A7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b="1">
                    <a:solidFill>
                      <a:srgbClr val="FFFFFF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'Gráficos '!$P$144:$P$148</c:f>
              <c:strCache>
                <c:ptCount val="5"/>
                <c:pt idx="0">
                  <c:v>ORÇAMENTO MATRIZ</c:v>
                </c:pt>
                <c:pt idx="1">
                  <c:v>ASSISTÊNCIA ESTUDANTIL</c:v>
                </c:pt>
                <c:pt idx="2">
                  <c:v>FNDE</c:v>
                </c:pt>
                <c:pt idx="3">
                  <c:v>RECEITAS PRÓPRIAS</c:v>
                </c:pt>
                <c:pt idx="4">
                  <c:v>OUTRAS FONTES</c:v>
                </c:pt>
              </c:strCache>
            </c:strRef>
          </c:cat>
          <c:val>
            <c:numRef>
              <c:f>'Gráficos '!$R$144:$R$148</c:f>
              <c:numCache>
                <c:formatCode>_([$R$ -416]* #,##0.00_);_([$R$ -416]* \(#,##0.00\);_([$R$ -416]* "-"??_);_(@_)</c:formatCode>
                <c:ptCount val="5"/>
                <c:pt idx="0">
                  <c:v>4909157.17</c:v>
                </c:pt>
                <c:pt idx="1">
                  <c:v>2073197.3100000003</c:v>
                </c:pt>
                <c:pt idx="2">
                  <c:v>266193.2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3-B96C-4F71-8338-4C6578F27A79}"/>
            </c:ext>
          </c:extLst>
        </c:ser>
        <c:ser>
          <c:idx val="2"/>
          <c:order val="2"/>
          <c:tx>
            <c:strRef>
              <c:f>'Gráficos '!$S$143</c:f>
              <c:strCache>
                <c:ptCount val="1"/>
                <c:pt idx="0">
                  <c:v>Extraorçamentário</c:v>
                </c:pt>
              </c:strCache>
            </c:strRef>
          </c:tx>
          <c:spPr>
            <a:solidFill>
              <a:srgbClr val="FF0000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3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4-B96C-4F71-8338-4C6578F27A7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b="1">
                    <a:solidFill>
                      <a:srgbClr val="FFFFFF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'Gráficos '!$P$144:$P$148</c:f>
              <c:strCache>
                <c:ptCount val="5"/>
                <c:pt idx="0">
                  <c:v>ORÇAMENTO MATRIZ</c:v>
                </c:pt>
                <c:pt idx="1">
                  <c:v>ASSISTÊNCIA ESTUDANTIL</c:v>
                </c:pt>
                <c:pt idx="2">
                  <c:v>FNDE</c:v>
                </c:pt>
                <c:pt idx="3">
                  <c:v>RECEITAS PRÓPRIAS</c:v>
                </c:pt>
                <c:pt idx="4">
                  <c:v>OUTRAS FONTES</c:v>
                </c:pt>
              </c:strCache>
            </c:strRef>
          </c:cat>
          <c:val>
            <c:numRef>
              <c:f>'Gráficos '!$S$144:$S$148</c:f>
              <c:numCache>
                <c:formatCode>_([$R$ -416]* #,##0.00_);_([$R$ -416]* \(#,##0.00\);_([$R$ -416]* "-"??_);_(@_)</c:formatCode>
                <c:ptCount val="5"/>
                <c:pt idx="0">
                  <c:v>603000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9303000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5-B96C-4F71-8338-4C6578F27A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92234340"/>
        <c:axId val="2065096290"/>
      </c:barChart>
      <c:catAx>
        <c:axId val="792234340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1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065096290"/>
        <c:crosses val="autoZero"/>
        <c:auto val="1"/>
        <c:lblAlgn val="ctr"/>
        <c:lblOffset val="100"/>
        <c:noMultiLvlLbl val="1"/>
      </c:catAx>
      <c:valAx>
        <c:axId val="2065096290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792234340"/>
        <c:crosses val="max"/>
        <c:crossBetween val="between"/>
      </c:valAx>
    </c:plotArea>
    <c:legend>
      <c:legendPos val="r"/>
      <c:layout/>
      <c:overlay val="0"/>
      <c:txPr>
        <a:bodyPr/>
        <a:lstStyle/>
        <a:p>
          <a:pPr lvl="0">
            <a:defRPr b="1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727E-48DB-A7BD-63BB06279906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</c:spPr>
            <c:extLst>
              <c:ext xmlns:c16="http://schemas.microsoft.com/office/drawing/2014/chart" uri="{C3380CC4-5D6E-409C-BE32-E72D297353CC}">
                <c16:uniqueId val="{00000003-727E-48DB-A7BD-63BB06279906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</c:spPr>
            <c:extLst>
              <c:ext xmlns:c16="http://schemas.microsoft.com/office/drawing/2014/chart" uri="{C3380CC4-5D6E-409C-BE32-E72D297353CC}">
                <c16:uniqueId val="{00000005-727E-48DB-A7BD-63BB06279906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</c:spPr>
            <c:extLst>
              <c:ext xmlns:c16="http://schemas.microsoft.com/office/drawing/2014/chart" uri="{C3380CC4-5D6E-409C-BE32-E72D297353CC}">
                <c16:uniqueId val="{00000007-727E-48DB-A7BD-63BB06279906}"/>
              </c:ext>
            </c:extLst>
          </c:dPt>
          <c:dPt>
            <c:idx val="4"/>
            <c:bubble3D val="0"/>
            <c:spPr>
              <a:solidFill>
                <a:srgbClr val="4BACC6"/>
              </a:solidFill>
            </c:spPr>
            <c:extLst>
              <c:ext xmlns:c16="http://schemas.microsoft.com/office/drawing/2014/chart" uri="{C3380CC4-5D6E-409C-BE32-E72D297353CC}">
                <c16:uniqueId val="{00000009-727E-48DB-A7BD-63BB06279906}"/>
              </c:ext>
            </c:extLst>
          </c:dPt>
          <c:dPt>
            <c:idx val="5"/>
            <c:bubble3D val="0"/>
            <c:spPr>
              <a:solidFill>
                <a:srgbClr val="F79646"/>
              </a:solidFill>
            </c:spPr>
            <c:extLst>
              <c:ext xmlns:c16="http://schemas.microsoft.com/office/drawing/2014/chart" uri="{C3380CC4-5D6E-409C-BE32-E72D297353CC}">
                <c16:uniqueId val="{0000000B-727E-48DB-A7BD-63BB06279906}"/>
              </c:ext>
            </c:extLst>
          </c:dPt>
          <c:cat>
            <c:strRef>
              <c:f>'Gráficos '!$E$33:$E$38</c:f>
              <c:strCache>
                <c:ptCount val="6"/>
                <c:pt idx="0">
                  <c:v>DG - DIREÇÃO GERAL</c:v>
                </c:pt>
                <c:pt idx="1">
                  <c:v>DAD - DIRETORIA DE ADMINISTRAÇÃO</c:v>
                </c:pt>
                <c:pt idx="2">
                  <c:v>DPDI - DIRETORIA DE PLANEJ E DESENV INSTITUCIONAL</c:v>
                </c:pt>
                <c:pt idx="3">
                  <c:v>DE - DIRETORIA DE ENSINO</c:v>
                </c:pt>
                <c:pt idx="4">
                  <c:v>DPEP - DIRETORIA DE PESQUISA, EXTENSÃO E PRODUÇÃO</c:v>
                </c:pt>
                <c:pt idx="5">
                  <c:v>DESPESAS REALIZADAS PELA REITORIA</c:v>
                </c:pt>
              </c:strCache>
            </c:strRef>
          </c:cat>
          <c:val>
            <c:numRef>
              <c:f>'Gráficos '!$F$33:$F$38</c:f>
              <c:numCache>
                <c:formatCode>_([$R$ -416]* #,##0.00_);_([$R$ -416]* \(#,##0.00\);_([$R$ -416]* "-"??_);_(@_)</c:formatCode>
                <c:ptCount val="6"/>
                <c:pt idx="0">
                  <c:v>7000</c:v>
                </c:pt>
                <c:pt idx="1">
                  <c:v>2367218.85</c:v>
                </c:pt>
                <c:pt idx="2">
                  <c:v>120820.71</c:v>
                </c:pt>
                <c:pt idx="3">
                  <c:v>56850.2</c:v>
                </c:pt>
                <c:pt idx="4">
                  <c:v>1104668.6900000004</c:v>
                </c:pt>
                <c:pt idx="5">
                  <c:v>747067.58000000007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27E-48DB-A7BD-63BB06279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>
        <c:manualLayout>
          <c:xMode val="edge"/>
          <c:yMode val="edge"/>
          <c:x val="0.22086284124664057"/>
          <c:y val="0.73312958521694227"/>
          <c:w val="0.60085582116606684"/>
          <c:h val="0.2453070724649985"/>
        </c:manualLayout>
      </c:layout>
      <c:overlay val="0"/>
      <c:txPr>
        <a:bodyPr/>
        <a:lstStyle/>
        <a:p>
          <a:pPr lvl="0">
            <a:defRPr sz="700"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356E-4CEA-8724-405886078607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</c:spPr>
            <c:extLst>
              <c:ext xmlns:c16="http://schemas.microsoft.com/office/drawing/2014/chart" uri="{C3380CC4-5D6E-409C-BE32-E72D297353CC}">
                <c16:uniqueId val="{00000003-356E-4CEA-8724-405886078607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</c:spPr>
            <c:extLst>
              <c:ext xmlns:c16="http://schemas.microsoft.com/office/drawing/2014/chart" uri="{C3380CC4-5D6E-409C-BE32-E72D297353CC}">
                <c16:uniqueId val="{00000005-356E-4CEA-8724-405886078607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</c:spPr>
            <c:extLst>
              <c:ext xmlns:c16="http://schemas.microsoft.com/office/drawing/2014/chart" uri="{C3380CC4-5D6E-409C-BE32-E72D297353CC}">
                <c16:uniqueId val="{00000007-356E-4CEA-8724-405886078607}"/>
              </c:ext>
            </c:extLst>
          </c:dPt>
          <c:dPt>
            <c:idx val="4"/>
            <c:bubble3D val="0"/>
            <c:spPr>
              <a:solidFill>
                <a:srgbClr val="4BACC6"/>
              </a:solidFill>
            </c:spPr>
            <c:extLst>
              <c:ext xmlns:c16="http://schemas.microsoft.com/office/drawing/2014/chart" uri="{C3380CC4-5D6E-409C-BE32-E72D297353CC}">
                <c16:uniqueId val="{00000009-356E-4CEA-8724-405886078607}"/>
              </c:ext>
            </c:extLst>
          </c:dPt>
          <c:dPt>
            <c:idx val="5"/>
            <c:bubble3D val="0"/>
            <c:spPr>
              <a:solidFill>
                <a:srgbClr val="F79646"/>
              </a:solidFill>
            </c:spPr>
            <c:extLst>
              <c:ext xmlns:c16="http://schemas.microsoft.com/office/drawing/2014/chart" uri="{C3380CC4-5D6E-409C-BE32-E72D297353CC}">
                <c16:uniqueId val="{0000000B-356E-4CEA-8724-405886078607}"/>
              </c:ext>
            </c:extLst>
          </c:dPt>
          <c:cat>
            <c:strRef>
              <c:f>'Gráficos '!$H$33:$H$38</c:f>
              <c:strCache>
                <c:ptCount val="6"/>
                <c:pt idx="0">
                  <c:v>DG - DIREÇÃO GERAL</c:v>
                </c:pt>
                <c:pt idx="1">
                  <c:v>DAD - DIRETORIA DE ADMINISTRAÇÃO</c:v>
                </c:pt>
                <c:pt idx="2">
                  <c:v>DPDI - DIRETORIA DE PLANEJ E DESENV INSTITUCIONAL</c:v>
                </c:pt>
                <c:pt idx="3">
                  <c:v>DE - DIRETORIA DE ENSINO</c:v>
                </c:pt>
                <c:pt idx="4">
                  <c:v>DPEP - DIRETORIA DE PESQUISA, EXTENSÃO E PRODUÇÃO</c:v>
                </c:pt>
                <c:pt idx="5">
                  <c:v>DESPESAS REALIZADAS PELA REITORIA</c:v>
                </c:pt>
              </c:strCache>
            </c:strRef>
          </c:cat>
          <c:val>
            <c:numRef>
              <c:f>'Gráficos '!$I$33:$I$38</c:f>
              <c:numCache>
                <c:formatCode>_([$R$ -416]* #,##0.00_);_([$R$ -416]* \(#,##0.00\);_([$R$ -416]* "-"??_);_(@_)</c:formatCode>
                <c:ptCount val="6"/>
                <c:pt idx="0">
                  <c:v>5532.22</c:v>
                </c:pt>
                <c:pt idx="1">
                  <c:v>1001752.8399999999</c:v>
                </c:pt>
                <c:pt idx="2">
                  <c:v>28941.96</c:v>
                </c:pt>
                <c:pt idx="3">
                  <c:v>18293.38</c:v>
                </c:pt>
                <c:pt idx="4">
                  <c:v>601017.89000000025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56E-4CEA-8724-4058860786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>
        <c:manualLayout>
          <c:xMode val="edge"/>
          <c:yMode val="edge"/>
          <c:x val="0.13836117790665389"/>
          <c:y val="0.72953569483059899"/>
          <c:w val="0.7738431797821681"/>
          <c:h val="0.24890096285134169"/>
        </c:manualLayout>
      </c:layout>
      <c:overlay val="0"/>
      <c:txPr>
        <a:bodyPr/>
        <a:lstStyle/>
        <a:p>
          <a:pPr lvl="0">
            <a:defRPr sz="700"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stacked"/>
        <c:varyColors val="1"/>
        <c:ser>
          <c:idx val="0"/>
          <c:order val="0"/>
          <c:spPr>
            <a:solidFill>
              <a:srgbClr val="6AA84F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'!$B$64:$B$65</c:f>
              <c:strCache>
                <c:ptCount val="2"/>
                <c:pt idx="0">
                  <c:v>ORÇAMENTO PLANEJADO</c:v>
                </c:pt>
                <c:pt idx="1">
                  <c:v>ORÇAMENTO LIBERADO</c:v>
                </c:pt>
              </c:strCache>
            </c:strRef>
          </c:cat>
          <c:val>
            <c:numRef>
              <c:f>'Gráficos '!$C$64:$C$65</c:f>
              <c:numCache>
                <c:formatCode>_([$R$ -416]* #,##0.00_);_([$R$ -416]* \(#,##0.00\);_([$R$ -416]* "-"??_);_(@_)</c:formatCode>
                <c:ptCount val="2"/>
                <c:pt idx="0">
                  <c:v>4909157.17</c:v>
                </c:pt>
                <c:pt idx="1">
                  <c:v>4748487.9800000004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C301-4EEC-80FB-F0E8F4E3D2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25435182"/>
        <c:axId val="1531279358"/>
      </c:barChart>
      <c:catAx>
        <c:axId val="112543518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531279358"/>
        <c:crosses val="autoZero"/>
        <c:auto val="1"/>
        <c:lblAlgn val="ctr"/>
        <c:lblOffset val="100"/>
        <c:noMultiLvlLbl val="1"/>
      </c:catAx>
      <c:valAx>
        <c:axId val="153127935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[$R$ -416]#,##0.00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125435182"/>
        <c:crosses val="autoZero"/>
        <c:crossBetween val="between"/>
      </c:valAx>
    </c:plotArea>
    <c:plotVisOnly val="1"/>
    <c:dispBlanksAs val="zero"/>
    <c:showDLblsOverMax val="1"/>
  </c:chart>
  <c:spPr>
    <a:solidFill>
      <a:srgbClr val="F3F3F3"/>
    </a:solidFill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ORÇAMENTO PLANEJADO</c:v>
          </c:tx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'!$K$34:$K$45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'Gráficos '!$L$34:$L$45</c:f>
              <c:numCache>
                <c:formatCode>[$R$ -416]#,##0.00</c:formatCode>
                <c:ptCount val="12"/>
                <c:pt idx="0">
                  <c:v>409096.43083333335</c:v>
                </c:pt>
                <c:pt idx="1">
                  <c:v>409096.43083333335</c:v>
                </c:pt>
                <c:pt idx="2">
                  <c:v>409096.43083333335</c:v>
                </c:pt>
                <c:pt idx="3">
                  <c:v>409096.43083333335</c:v>
                </c:pt>
                <c:pt idx="4">
                  <c:v>409096.43083333335</c:v>
                </c:pt>
                <c:pt idx="5">
                  <c:v>409096.43083333335</c:v>
                </c:pt>
                <c:pt idx="6">
                  <c:v>409096.43083333335</c:v>
                </c:pt>
                <c:pt idx="7">
                  <c:v>409096.43083333335</c:v>
                </c:pt>
                <c:pt idx="8">
                  <c:v>409096.43083333335</c:v>
                </c:pt>
                <c:pt idx="9">
                  <c:v>409096.43083333335</c:v>
                </c:pt>
                <c:pt idx="10">
                  <c:v>409096.43083333335</c:v>
                </c:pt>
                <c:pt idx="11">
                  <c:v>409096.43083333335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CFB2-41BE-B950-09048743418C}"/>
            </c:ext>
          </c:extLst>
        </c:ser>
        <c:ser>
          <c:idx val="1"/>
          <c:order val="1"/>
          <c:tx>
            <c:v>ORÇAMENTO LIBERADO</c:v>
          </c:tx>
          <c:spPr>
            <a:solidFill>
              <a:srgbClr val="C0504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'!$K$34:$K$45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'Gráficos '!$M$34:$M$45</c:f>
              <c:numCache>
                <c:formatCode>[$R$-416]\ #,##0.00;[Red]\-[$R$-416]\ #,##0.00</c:formatCode>
                <c:ptCount val="12"/>
                <c:pt idx="0">
                  <c:v>671535</c:v>
                </c:pt>
                <c:pt idx="1">
                  <c:v>13000</c:v>
                </c:pt>
                <c:pt idx="2">
                  <c:v>315199</c:v>
                </c:pt>
                <c:pt idx="3" formatCode="[$R$]#,##0.00">
                  <c:v>353399</c:v>
                </c:pt>
                <c:pt idx="4" formatCode="[$R$]#,##0.00">
                  <c:v>1234212.2</c:v>
                </c:pt>
                <c:pt idx="5" formatCode="[$R$]#,##0.00">
                  <c:v>1414075.2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[$R$]#,##0.00">
                  <c:v>0</c:v>
                </c:pt>
                <c:pt idx="10" formatCode="[$R$]#,##0.00">
                  <c:v>0</c:v>
                </c:pt>
                <c:pt idx="11" formatCode="[$R$]#,##0.00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CFB2-41BE-B950-090487434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9317793"/>
        <c:axId val="540806734"/>
      </c:barChart>
      <c:catAx>
        <c:axId val="182931779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 i="0">
                    <a:solidFill>
                      <a:srgbClr val="000000"/>
                    </a:solidFill>
                    <a:latin typeface="+mn-lt"/>
                  </a:rPr>
                  <a:t>MÊS DE REFERÊNCIA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540806734"/>
        <c:crosses val="autoZero"/>
        <c:auto val="1"/>
        <c:lblAlgn val="ctr"/>
        <c:lblOffset val="100"/>
        <c:noMultiLvlLbl val="1"/>
      </c:catAx>
      <c:valAx>
        <c:axId val="54080673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[$R$ -416]#,##0.00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829317793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1000" b="0" i="0">
              <a:solidFill>
                <a:srgbClr val="1A1A1A"/>
              </a:solidFill>
              <a:latin typeface="Arial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bar"/>
        <c:grouping val="clustered"/>
        <c:varyColors val="1"/>
        <c:ser>
          <c:idx val="0"/>
          <c:order val="0"/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'!$E$63:$E$66</c:f>
              <c:strCache>
                <c:ptCount val="4"/>
                <c:pt idx="0">
                  <c:v>ORÇAMENTO LIBERADO</c:v>
                </c:pt>
                <c:pt idx="1">
                  <c:v>ORÇAMENTO EMPENHADO</c:v>
                </c:pt>
                <c:pt idx="2">
                  <c:v>ORÇAMENTO EXECUTADO</c:v>
                </c:pt>
                <c:pt idx="3">
                  <c:v>ORÇAMENTO PAGO</c:v>
                </c:pt>
              </c:strCache>
            </c:strRef>
          </c:cat>
          <c:val>
            <c:numRef>
              <c:f>'Gráficos '!$F$63:$F$66</c:f>
              <c:numCache>
                <c:formatCode>_([$R$ -416]* #,##0.00_);_([$R$ -416]* \(#,##0.00\);_([$R$ -416]* "-"??_);_(@_)</c:formatCode>
                <c:ptCount val="4"/>
                <c:pt idx="0">
                  <c:v>4748487.9800000004</c:v>
                </c:pt>
                <c:pt idx="1">
                  <c:v>4433298.0300000012</c:v>
                </c:pt>
                <c:pt idx="2">
                  <c:v>1655538.29</c:v>
                </c:pt>
                <c:pt idx="3">
                  <c:v>1655538.29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8D91-41CC-9D41-8D482DFA9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7296461"/>
        <c:axId val="39719983"/>
      </c:barChart>
      <c:catAx>
        <c:axId val="957296461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 i="0">
                    <a:solidFill>
                      <a:srgbClr val="000000"/>
                    </a:solidFill>
                    <a:latin typeface="+mn-lt"/>
                  </a:rPr>
                  <a:t>ORÇAMENTO LIBERADO - MATRIZ ORÇAMENTÁRIA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39719983"/>
        <c:crosses val="autoZero"/>
        <c:auto val="1"/>
        <c:lblAlgn val="ctr"/>
        <c:lblOffset val="100"/>
        <c:noMultiLvlLbl val="1"/>
      </c:catAx>
      <c:valAx>
        <c:axId val="39719983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 i="0">
                    <a:solidFill>
                      <a:srgbClr val="000000"/>
                    </a:solidFill>
                    <a:latin typeface="+mn-lt"/>
                  </a:rPr>
                  <a:t>DESPESAS EMPENHADAS, LIQUIDADAS E PAGAS</a:t>
                </a:r>
              </a:p>
            </c:rich>
          </c:tx>
          <c:layout/>
          <c:overlay val="0"/>
        </c:title>
        <c:numFmt formatCode="_([$R$ -416]* #,##0.00_);_([$R$ -416]* \(#,##0.00\);_([$R$ -416]* &quot;-&quot;??_);_(@_)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6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957296461"/>
        <c:crosses val="max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>
        <c:manualLayout>
          <c:layoutTarget val="inner"/>
          <c:xMode val="edge"/>
          <c:yMode val="edge"/>
          <c:x val="0.19922342392025899"/>
          <c:y val="8.431595304318304E-2"/>
          <c:w val="0.52632637846339247"/>
          <c:h val="0.6729645734581685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7DBF-4B12-AE97-89705F2DE630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</c:spPr>
            <c:extLst>
              <c:ext xmlns:c16="http://schemas.microsoft.com/office/drawing/2014/chart" uri="{C3380CC4-5D6E-409C-BE32-E72D297353CC}">
                <c16:uniqueId val="{00000003-7DBF-4B12-AE97-89705F2DE630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</c:spPr>
            <c:extLst>
              <c:ext xmlns:c16="http://schemas.microsoft.com/office/drawing/2014/chart" uri="{C3380CC4-5D6E-409C-BE32-E72D297353CC}">
                <c16:uniqueId val="{00000005-7DBF-4B12-AE97-89705F2DE630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</c:spPr>
            <c:extLst>
              <c:ext xmlns:c16="http://schemas.microsoft.com/office/drawing/2014/chart" uri="{C3380CC4-5D6E-409C-BE32-E72D297353CC}">
                <c16:uniqueId val="{00000007-7DBF-4B12-AE97-89705F2DE630}"/>
              </c:ext>
            </c:extLst>
          </c:dPt>
          <c:dPt>
            <c:idx val="4"/>
            <c:bubble3D val="0"/>
            <c:spPr>
              <a:solidFill>
                <a:srgbClr val="4BACC6"/>
              </a:solidFill>
            </c:spPr>
            <c:extLst>
              <c:ext xmlns:c16="http://schemas.microsoft.com/office/drawing/2014/chart" uri="{C3380CC4-5D6E-409C-BE32-E72D297353CC}">
                <c16:uniqueId val="{00000009-7DBF-4B12-AE97-89705F2DE63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'Gráficos '!$B$5:$B$9</c:f>
              <c:strCache>
                <c:ptCount val="5"/>
                <c:pt idx="0">
                  <c:v>MATRIZ ORÇAMENTÁRIA AJUSTADA</c:v>
                </c:pt>
                <c:pt idx="1">
                  <c:v>FNDE</c:v>
                </c:pt>
                <c:pt idx="2">
                  <c:v>PNAES - PTRES 170804</c:v>
                </c:pt>
                <c:pt idx="3">
                  <c:v>RIP - PTRES 170803</c:v>
                </c:pt>
                <c:pt idx="4">
                  <c:v>OUTROS RECURSOS (PNAES, FNDE, Receita Própria, Extra Orçamentário)</c:v>
                </c:pt>
              </c:strCache>
            </c:strRef>
          </c:cat>
          <c:val>
            <c:numRef>
              <c:f>'Gráficos '!$C$5:$C$9</c:f>
              <c:numCache>
                <c:formatCode>_([$R$ -416]* #,##0.00_);_([$R$ -416]* \(#,##0.00\);_([$R$ -416]* "-"??_);_(@_)</c:formatCode>
                <c:ptCount val="5"/>
                <c:pt idx="0">
                  <c:v>4909157.17</c:v>
                </c:pt>
                <c:pt idx="1">
                  <c:v>266193.2</c:v>
                </c:pt>
                <c:pt idx="2">
                  <c:v>658100</c:v>
                </c:pt>
                <c:pt idx="3">
                  <c:v>2073197.3100000003</c:v>
                </c:pt>
                <c:pt idx="4">
                  <c:v>10174670.000000002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DBF-4B12-AE97-89705F2DE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>
        <c:manualLayout>
          <c:xMode val="edge"/>
          <c:yMode val="edge"/>
          <c:x val="4.6767776782393231E-2"/>
          <c:y val="0.79153194458287646"/>
          <c:w val="0.91444847837134136"/>
          <c:h val="0.18821489086016147"/>
        </c:manualLayout>
      </c:layout>
      <c:overlay val="0"/>
      <c:txPr>
        <a:bodyPr/>
        <a:lstStyle/>
        <a:p>
          <a:pPr lvl="0">
            <a:defRPr sz="600"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>
        <c:manualLayout>
          <c:layoutTarget val="inner"/>
          <c:xMode val="edge"/>
          <c:yMode val="edge"/>
          <c:x val="5.7256645650333927E-2"/>
          <c:y val="3.7577779413087382E-2"/>
          <c:w val="0.58196349461378627"/>
          <c:h val="0.9373055003638564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2FAE-4593-83F2-FE75E69D4B33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</c:spPr>
            <c:extLst>
              <c:ext xmlns:c16="http://schemas.microsoft.com/office/drawing/2014/chart" uri="{C3380CC4-5D6E-409C-BE32-E72D297353CC}">
                <c16:uniqueId val="{00000003-2FAE-4593-83F2-FE75E69D4B33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</c:spPr>
            <c:extLst>
              <c:ext xmlns:c16="http://schemas.microsoft.com/office/drawing/2014/chart" uri="{C3380CC4-5D6E-409C-BE32-E72D297353CC}">
                <c16:uniqueId val="{00000005-2FAE-4593-83F2-FE75E69D4B33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</c:spPr>
            <c:extLst>
              <c:ext xmlns:c16="http://schemas.microsoft.com/office/drawing/2014/chart" uri="{C3380CC4-5D6E-409C-BE32-E72D297353CC}">
                <c16:uniqueId val="{00000007-2FAE-4593-83F2-FE75E69D4B33}"/>
              </c:ext>
            </c:extLst>
          </c:dPt>
          <c:dPt>
            <c:idx val="4"/>
            <c:bubble3D val="0"/>
            <c:spPr>
              <a:solidFill>
                <a:srgbClr val="4BACC6"/>
              </a:solidFill>
            </c:spPr>
            <c:extLst>
              <c:ext xmlns:c16="http://schemas.microsoft.com/office/drawing/2014/chart" uri="{C3380CC4-5D6E-409C-BE32-E72D297353CC}">
                <c16:uniqueId val="{00000009-2FAE-4593-83F2-FE75E69D4B33}"/>
              </c:ext>
            </c:extLst>
          </c:dPt>
          <c:dPt>
            <c:idx val="5"/>
            <c:bubble3D val="0"/>
            <c:spPr>
              <a:solidFill>
                <a:srgbClr val="F79646"/>
              </a:solidFill>
            </c:spPr>
            <c:extLst>
              <c:ext xmlns:c16="http://schemas.microsoft.com/office/drawing/2014/chart" uri="{C3380CC4-5D6E-409C-BE32-E72D297353CC}">
                <c16:uniqueId val="{0000000B-2FAE-4593-83F2-FE75E69D4B33}"/>
              </c:ext>
            </c:extLst>
          </c:dPt>
          <c:dPt>
            <c:idx val="6"/>
            <c:bubble3D val="0"/>
            <c:spPr>
              <a:solidFill>
                <a:srgbClr val="84A7D1"/>
              </a:solidFill>
            </c:spPr>
            <c:extLst>
              <c:ext xmlns:c16="http://schemas.microsoft.com/office/drawing/2014/chart" uri="{C3380CC4-5D6E-409C-BE32-E72D297353CC}">
                <c16:uniqueId val="{0000000D-2FAE-4593-83F2-FE75E69D4B33}"/>
              </c:ext>
            </c:extLst>
          </c:dPt>
          <c:dPt>
            <c:idx val="7"/>
            <c:bubble3D val="0"/>
            <c:spPr>
              <a:solidFill>
                <a:srgbClr val="D38582"/>
              </a:solidFill>
            </c:spPr>
            <c:extLst>
              <c:ext xmlns:c16="http://schemas.microsoft.com/office/drawing/2014/chart" uri="{C3380CC4-5D6E-409C-BE32-E72D297353CC}">
                <c16:uniqueId val="{0000000F-2FAE-4593-83F2-FE75E69D4B33}"/>
              </c:ext>
            </c:extLst>
          </c:dPt>
          <c:dPt>
            <c:idx val="8"/>
            <c:bubble3D val="0"/>
            <c:spPr>
              <a:solidFill>
                <a:srgbClr val="B9CF8B"/>
              </a:solidFill>
            </c:spPr>
            <c:extLst>
              <c:ext xmlns:c16="http://schemas.microsoft.com/office/drawing/2014/chart" uri="{C3380CC4-5D6E-409C-BE32-E72D297353CC}">
                <c16:uniqueId val="{00000011-2FAE-4593-83F2-FE75E69D4B33}"/>
              </c:ext>
            </c:extLst>
          </c:dPt>
          <c:dPt>
            <c:idx val="9"/>
            <c:bubble3D val="0"/>
            <c:spPr>
              <a:solidFill>
                <a:srgbClr val="A693BE"/>
              </a:solidFill>
            </c:spPr>
            <c:extLst>
              <c:ext xmlns:c16="http://schemas.microsoft.com/office/drawing/2014/chart" uri="{C3380CC4-5D6E-409C-BE32-E72D297353CC}">
                <c16:uniqueId val="{00000013-2FAE-4593-83F2-FE75E69D4B33}"/>
              </c:ext>
            </c:extLst>
          </c:dPt>
          <c:dLbls>
            <c:dLbl>
              <c:idx val="0"/>
              <c:layout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00"/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FAE-4593-83F2-FE75E69D4B3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'Gráficos '!$E$4:$E$13</c:f>
              <c:strCache>
                <c:ptCount val="10"/>
                <c:pt idx="0">
                  <c:v>RECURSO LIVRE</c:v>
                </c:pt>
                <c:pt idx="1">
                  <c:v>PIIQP </c:v>
                </c:pt>
                <c:pt idx="2">
                  <c:v>PIIQPPE </c:v>
                </c:pt>
                <c:pt idx="3">
                  <c:v>FUNDO DE TI </c:v>
                </c:pt>
                <c:pt idx="4">
                  <c:v>PIDES</c:v>
                </c:pt>
                <c:pt idx="5">
                  <c:v>PROJETOS DE ENSINO </c:v>
                </c:pt>
                <c:pt idx="6">
                  <c:v>ASSISTÊNCIA ESTUDANTIL</c:v>
                </c:pt>
                <c:pt idx="7">
                  <c:v>AÇÕES INCLUSIVAS </c:v>
                </c:pt>
                <c:pt idx="8">
                  <c:v>PROJETOS DE PESQUISA- PI - LEN09P20FAI</c:v>
                </c:pt>
                <c:pt idx="9">
                  <c:v>PROJETOS DE EXTENSÃO- PI - LEN09P21FAI</c:v>
                </c:pt>
              </c:strCache>
            </c:strRef>
          </c:cat>
          <c:val>
            <c:numRef>
              <c:f>'Gráficos '!$F$4:$F$13</c:f>
              <c:numCache>
                <c:formatCode>_([$R$ -416]* #,##0.00_);_([$R$ -416]* \(#,##0.00\);_([$R$ -416]* "-"??_);_(@_)</c:formatCode>
                <c:ptCount val="10"/>
                <c:pt idx="0">
                  <c:v>4384106.34</c:v>
                </c:pt>
                <c:pt idx="1">
                  <c:v>38807.9</c:v>
                </c:pt>
                <c:pt idx="2">
                  <c:v>10846.210000000003</c:v>
                </c:pt>
                <c:pt idx="3">
                  <c:v>48509.869999999995</c:v>
                </c:pt>
                <c:pt idx="4">
                  <c:v>19403.949999999997</c:v>
                </c:pt>
                <c:pt idx="5">
                  <c:v>38807.9</c:v>
                </c:pt>
                <c:pt idx="6">
                  <c:v>194039.47999999998</c:v>
                </c:pt>
                <c:pt idx="7">
                  <c:v>58211.839999999997</c:v>
                </c:pt>
                <c:pt idx="8">
                  <c:v>58211.839999999997</c:v>
                </c:pt>
                <c:pt idx="9">
                  <c:v>58211.839999999997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2FAE-4593-83F2-FE75E69D4B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71073558918907587"/>
          <c:y val="0.17012354764065704"/>
          <c:w val="0.25732828306641309"/>
          <c:h val="0.63814588596986122"/>
        </c:manualLayout>
      </c:layout>
      <c:overlay val="0"/>
      <c:txPr>
        <a:bodyPr/>
        <a:lstStyle/>
        <a:p>
          <a:pPr lvl="0">
            <a:defRPr sz="700"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>
        <c:manualLayout>
          <c:layoutTarget val="inner"/>
          <c:xMode val="edge"/>
          <c:yMode val="edge"/>
          <c:x val="0.21440944881889765"/>
          <c:y val="1.2794386453357254E-2"/>
          <c:w val="0.55555630741469819"/>
          <c:h val="0.7164859058386470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85FE-4156-B1F7-2730C6B6425B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</c:spPr>
            <c:extLst>
              <c:ext xmlns:c16="http://schemas.microsoft.com/office/drawing/2014/chart" uri="{C3380CC4-5D6E-409C-BE32-E72D297353CC}">
                <c16:uniqueId val="{00000003-85FE-4156-B1F7-2730C6B6425B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</c:spPr>
            <c:extLst>
              <c:ext xmlns:c16="http://schemas.microsoft.com/office/drawing/2014/chart" uri="{C3380CC4-5D6E-409C-BE32-E72D297353CC}">
                <c16:uniqueId val="{00000005-85FE-4156-B1F7-2730C6B6425B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</c:spPr>
            <c:extLst>
              <c:ext xmlns:c16="http://schemas.microsoft.com/office/drawing/2014/chart" uri="{C3380CC4-5D6E-409C-BE32-E72D297353CC}">
                <c16:uniqueId val="{00000007-85FE-4156-B1F7-2730C6B6425B}"/>
              </c:ext>
            </c:extLst>
          </c:dPt>
          <c:dPt>
            <c:idx val="4"/>
            <c:bubble3D val="0"/>
            <c:spPr>
              <a:solidFill>
                <a:srgbClr val="4BACC6"/>
              </a:solidFill>
            </c:spPr>
            <c:extLst>
              <c:ext xmlns:c16="http://schemas.microsoft.com/office/drawing/2014/chart" uri="{C3380CC4-5D6E-409C-BE32-E72D297353CC}">
                <c16:uniqueId val="{00000009-85FE-4156-B1F7-2730C6B6425B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'Gráficos '!$H$5:$H$9</c:f>
              <c:strCache>
                <c:ptCount val="5"/>
                <c:pt idx="0">
                  <c:v>5% CUSTEIO DO CAMPUS </c:v>
                </c:pt>
                <c:pt idx="1">
                  <c:v>PNAES - PTRES 170804</c:v>
                </c:pt>
                <c:pt idx="2">
                  <c:v>RIP - PTRES 170803</c:v>
                </c:pt>
                <c:pt idx="3">
                  <c:v>FNDE</c:v>
                </c:pt>
                <c:pt idx="4">
                  <c:v>OUTROS RECURSOS (PNAES, FNDE, Receita Própria, Extra Orçamentário)</c:v>
                </c:pt>
              </c:strCache>
            </c:strRef>
          </c:cat>
          <c:val>
            <c:numRef>
              <c:f>'Gráficos '!$I$5:$I$9</c:f>
              <c:numCache>
                <c:formatCode>_([$R$ -416]* #,##0.00_);_([$R$ -416]* \(#,##0.00\);_([$R$ -416]* "-"??_);_(@_)</c:formatCode>
                <c:ptCount val="5"/>
                <c:pt idx="0">
                  <c:v>194039.47999999998</c:v>
                </c:pt>
                <c:pt idx="1">
                  <c:v>658100</c:v>
                </c:pt>
                <c:pt idx="2">
                  <c:v>2073197.3100000003</c:v>
                </c:pt>
                <c:pt idx="3">
                  <c:v>266193.2</c:v>
                </c:pt>
                <c:pt idx="4">
                  <c:v>1546670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5FE-4156-B1F7-2730C6B642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>
        <c:manualLayout>
          <c:xMode val="edge"/>
          <c:yMode val="edge"/>
          <c:x val="0.2023265255905512"/>
          <c:y val="0.78618107887399036"/>
          <c:w val="0.62138882053805777"/>
          <c:h val="0.19314707898400177"/>
        </c:manualLayout>
      </c:layout>
      <c:overlay val="0"/>
      <c:txPr>
        <a:bodyPr/>
        <a:lstStyle/>
        <a:p>
          <a:pPr lvl="0">
            <a:defRPr sz="700"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28575</xdr:colOff>
      <xdr:row>791</xdr:row>
      <xdr:rowOff>152400</xdr:rowOff>
    </xdr:from>
    <xdr:ext cx="3248025" cy="752475"/>
    <xdr:sp macro="" textlink="">
      <xdr:nvSpPr>
        <xdr:cNvPr id="3" name="Shape 3"/>
        <xdr:cNvSpPr/>
      </xdr:nvSpPr>
      <xdr:spPr>
        <a:xfrm>
          <a:off x="2661900" y="1391000"/>
          <a:ext cx="3582600" cy="730500"/>
        </a:xfrm>
        <a:prstGeom prst="upArrowCallout">
          <a:avLst>
            <a:gd name="adj1" fmla="val 25000"/>
            <a:gd name="adj2" fmla="val 89729"/>
            <a:gd name="adj3" fmla="val 28038"/>
            <a:gd name="adj4" fmla="val 64977"/>
          </a:avLst>
        </a:prstGeom>
        <a:solidFill>
          <a:srgbClr val="00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800" b="1">
              <a:solidFill>
                <a:srgbClr val="0000FF"/>
              </a:solidFill>
            </a:rPr>
            <a:t>CONFERÊNCIAS DE SALDOS</a:t>
          </a:r>
          <a:endParaRPr sz="1800" b="1">
            <a:solidFill>
              <a:srgbClr val="0000FF"/>
            </a:solidFill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85725</xdr:colOff>
      <xdr:row>38</xdr:row>
      <xdr:rowOff>180975</xdr:rowOff>
    </xdr:from>
    <xdr:ext cx="4772025" cy="3533775"/>
    <xdr:graphicFrame macro="">
      <xdr:nvGraphicFramePr>
        <xdr:cNvPr id="877188882" name="Chart 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4</xdr:col>
      <xdr:colOff>95250</xdr:colOff>
      <xdr:row>38</xdr:row>
      <xdr:rowOff>180975</xdr:rowOff>
    </xdr:from>
    <xdr:ext cx="4772025" cy="3533775"/>
    <xdr:graphicFrame macro="">
      <xdr:nvGraphicFramePr>
        <xdr:cNvPr id="1252776312" name="Chart 2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7</xdr:col>
      <xdr:colOff>85725</xdr:colOff>
      <xdr:row>38</xdr:row>
      <xdr:rowOff>180975</xdr:rowOff>
    </xdr:from>
    <xdr:ext cx="4772025" cy="3533775"/>
    <xdr:graphicFrame macro="">
      <xdr:nvGraphicFramePr>
        <xdr:cNvPr id="1448625377" name="Chart 3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</xdr:col>
      <xdr:colOff>85725</xdr:colOff>
      <xdr:row>66</xdr:row>
      <xdr:rowOff>9525</xdr:rowOff>
    </xdr:from>
    <xdr:ext cx="4772025" cy="3533775"/>
    <xdr:graphicFrame macro="">
      <xdr:nvGraphicFramePr>
        <xdr:cNvPr id="1954600860" name="Chart 4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10</xdr:col>
      <xdr:colOff>76200</xdr:colOff>
      <xdr:row>45</xdr:row>
      <xdr:rowOff>47625</xdr:rowOff>
    </xdr:from>
    <xdr:ext cx="4772025" cy="2400300"/>
    <xdr:graphicFrame macro="">
      <xdr:nvGraphicFramePr>
        <xdr:cNvPr id="983566465" name="Chart 5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4</xdr:col>
      <xdr:colOff>95250</xdr:colOff>
      <xdr:row>66</xdr:row>
      <xdr:rowOff>9525</xdr:rowOff>
    </xdr:from>
    <xdr:ext cx="4772025" cy="3533775"/>
    <xdr:graphicFrame macro="">
      <xdr:nvGraphicFramePr>
        <xdr:cNvPr id="1356836092" name="Chart 6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 fLocksWithSheet="0"/>
  </xdr:oneCellAnchor>
  <xdr:oneCellAnchor>
    <xdr:from>
      <xdr:col>1</xdr:col>
      <xdr:colOff>38101</xdr:colOff>
      <xdr:row>9</xdr:row>
      <xdr:rowOff>9525</xdr:rowOff>
    </xdr:from>
    <xdr:ext cx="4895850" cy="3829050"/>
    <xdr:graphicFrame macro="">
      <xdr:nvGraphicFramePr>
        <xdr:cNvPr id="1472074581" name="Chart 7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 fLocksWithSheet="0"/>
  </xdr:oneCellAnchor>
  <xdr:oneCellAnchor>
    <xdr:from>
      <xdr:col>4</xdr:col>
      <xdr:colOff>76199</xdr:colOff>
      <xdr:row>13</xdr:row>
      <xdr:rowOff>38099</xdr:rowOff>
    </xdr:from>
    <xdr:ext cx="4867275" cy="3057525"/>
    <xdr:graphicFrame macro="">
      <xdr:nvGraphicFramePr>
        <xdr:cNvPr id="1127804759" name="Chart 8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 fLocksWithSheet="0"/>
  </xdr:oneCellAnchor>
  <xdr:oneCellAnchor>
    <xdr:from>
      <xdr:col>7</xdr:col>
      <xdr:colOff>38101</xdr:colOff>
      <xdr:row>9</xdr:row>
      <xdr:rowOff>76201</xdr:rowOff>
    </xdr:from>
    <xdr:ext cx="4876800" cy="3781424"/>
    <xdr:graphicFrame macro="">
      <xdr:nvGraphicFramePr>
        <xdr:cNvPr id="1311073561" name="Chart 9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 fLocksWithSheet="0"/>
  </xdr:oneCellAnchor>
  <xdr:oneCellAnchor>
    <xdr:from>
      <xdr:col>7</xdr:col>
      <xdr:colOff>85725</xdr:colOff>
      <xdr:row>66</xdr:row>
      <xdr:rowOff>9525</xdr:rowOff>
    </xdr:from>
    <xdr:ext cx="4772025" cy="3533775"/>
    <xdr:graphicFrame macro="">
      <xdr:nvGraphicFramePr>
        <xdr:cNvPr id="1224838323" name="Chart 10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 fLocksWithSheet="0"/>
  </xdr:oneCellAnchor>
  <xdr:oneCellAnchor>
    <xdr:from>
      <xdr:col>10</xdr:col>
      <xdr:colOff>76200</xdr:colOff>
      <xdr:row>67</xdr:row>
      <xdr:rowOff>47625</xdr:rowOff>
    </xdr:from>
    <xdr:ext cx="4772025" cy="3295650"/>
    <xdr:graphicFrame macro="">
      <xdr:nvGraphicFramePr>
        <xdr:cNvPr id="1231952823" name="Chart 1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 fLocksWithSheet="0"/>
  </xdr:oneCellAnchor>
  <xdr:oneCellAnchor>
    <xdr:from>
      <xdr:col>10</xdr:col>
      <xdr:colOff>76200</xdr:colOff>
      <xdr:row>96</xdr:row>
      <xdr:rowOff>95250</xdr:rowOff>
    </xdr:from>
    <xdr:ext cx="4772025" cy="3000375"/>
    <xdr:graphicFrame macro="">
      <xdr:nvGraphicFramePr>
        <xdr:cNvPr id="264858614" name="Chart 12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 fLocksWithSheet="0"/>
  </xdr:oneCellAnchor>
  <xdr:oneCellAnchor>
    <xdr:from>
      <xdr:col>10</xdr:col>
      <xdr:colOff>76200</xdr:colOff>
      <xdr:row>123</xdr:row>
      <xdr:rowOff>57150</xdr:rowOff>
    </xdr:from>
    <xdr:ext cx="5915025" cy="3086100"/>
    <xdr:graphicFrame macro="">
      <xdr:nvGraphicFramePr>
        <xdr:cNvPr id="904334074" name="Chart 13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 fLocksWithSheet="0"/>
  </xdr:oneCellAnchor>
  <xdr:oneCellAnchor>
    <xdr:from>
      <xdr:col>10</xdr:col>
      <xdr:colOff>76200</xdr:colOff>
      <xdr:row>149</xdr:row>
      <xdr:rowOff>104775</xdr:rowOff>
    </xdr:from>
    <xdr:ext cx="5915025" cy="3200400"/>
    <xdr:graphicFrame macro="">
      <xdr:nvGraphicFramePr>
        <xdr:cNvPr id="1538077860" name="Chart 14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 fLocksWithSheet="0"/>
  </xdr:oneCellAnchor>
  <xdr:oneCellAnchor>
    <xdr:from>
      <xdr:col>10</xdr:col>
      <xdr:colOff>76200</xdr:colOff>
      <xdr:row>183</xdr:row>
      <xdr:rowOff>38100</xdr:rowOff>
    </xdr:from>
    <xdr:ext cx="5915025" cy="3676650"/>
    <xdr:graphicFrame macro="">
      <xdr:nvGraphicFramePr>
        <xdr:cNvPr id="261878201" name="Chart 15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 fLocksWithSheet="0"/>
  </xdr:oneCellAnchor>
  <xdr:oneCellAnchor>
    <xdr:from>
      <xdr:col>7</xdr:col>
      <xdr:colOff>85725</xdr:colOff>
      <xdr:row>120</xdr:row>
      <xdr:rowOff>38100</xdr:rowOff>
    </xdr:from>
    <xdr:ext cx="4772025" cy="3686175"/>
    <xdr:graphicFrame macro="">
      <xdr:nvGraphicFramePr>
        <xdr:cNvPr id="2067328594" name="Chart 16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 fLocksWithSheet="0"/>
  </xdr:oneCellAnchor>
  <xdr:oneCellAnchor>
    <xdr:from>
      <xdr:col>7</xdr:col>
      <xdr:colOff>85725</xdr:colOff>
      <xdr:row>183</xdr:row>
      <xdr:rowOff>114300</xdr:rowOff>
    </xdr:from>
    <xdr:ext cx="4772025" cy="3533775"/>
    <xdr:graphicFrame macro="">
      <xdr:nvGraphicFramePr>
        <xdr:cNvPr id="898024886" name="Chart 17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 fLocksWithSheet="0"/>
  </xdr:oneCellAnchor>
  <xdr:oneCellAnchor>
    <xdr:from>
      <xdr:col>15</xdr:col>
      <xdr:colOff>47625</xdr:colOff>
      <xdr:row>176</xdr:row>
      <xdr:rowOff>57150</xdr:rowOff>
    </xdr:from>
    <xdr:ext cx="6705600" cy="3267075"/>
    <xdr:graphicFrame macro="">
      <xdr:nvGraphicFramePr>
        <xdr:cNvPr id="1531669165" name="Chart 18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 fLocksWithSheet="0"/>
  </xdr:oneCellAnchor>
  <xdr:oneCellAnchor>
    <xdr:from>
      <xdr:col>15</xdr:col>
      <xdr:colOff>47625</xdr:colOff>
      <xdr:row>149</xdr:row>
      <xdr:rowOff>104775</xdr:rowOff>
    </xdr:from>
    <xdr:ext cx="6657975" cy="3200400"/>
    <xdr:graphicFrame macro="">
      <xdr:nvGraphicFramePr>
        <xdr:cNvPr id="448852861" name="Chart 19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G1005"/>
  <sheetViews>
    <sheetView showGridLines="0" workbookViewId="0">
      <pane xSplit="4" ySplit="3" topLeftCell="E156" activePane="bottomRight" state="frozen"/>
      <selection pane="topRight" activeCell="E1" sqref="E1"/>
      <selection pane="bottomLeft" activeCell="A4" sqref="A4"/>
      <selection pane="bottomRight" activeCell="AA184" sqref="AA184:BW184"/>
    </sheetView>
  </sheetViews>
  <sheetFormatPr defaultColWidth="14.42578125" defaultRowHeight="15" customHeight="1" outlineLevelRow="1"/>
  <cols>
    <col min="1" max="1" width="17.85546875" customWidth="1"/>
    <col min="2" max="2" width="17.5703125" customWidth="1"/>
    <col min="3" max="3" width="16.85546875" customWidth="1"/>
    <col min="4" max="4" width="66.42578125" customWidth="1"/>
    <col min="5" max="7" width="19.28515625" customWidth="1"/>
    <col min="8" max="8" width="18.85546875" customWidth="1"/>
    <col min="9" max="9" width="17.140625" customWidth="1"/>
    <col min="10" max="10" width="15" customWidth="1"/>
    <col min="11" max="11" width="18.7109375" customWidth="1"/>
    <col min="12" max="12" width="17.28515625" customWidth="1"/>
    <col min="13" max="13" width="17" customWidth="1"/>
    <col min="14" max="15" width="17.7109375" customWidth="1"/>
    <col min="16" max="16" width="17.7109375" bestFit="1" customWidth="1"/>
    <col min="17" max="17" width="16.28515625" customWidth="1"/>
    <col min="18" max="18" width="18" hidden="1" customWidth="1"/>
    <col min="19" max="20" width="16.28515625" hidden="1" customWidth="1"/>
    <col min="21" max="21" width="17.7109375" bestFit="1" customWidth="1"/>
    <col min="22" max="22" width="17" customWidth="1"/>
    <col min="23" max="23" width="17.7109375" bestFit="1" customWidth="1"/>
    <col min="24" max="24" width="12.28515625" customWidth="1"/>
    <col min="25" max="25" width="11.42578125" customWidth="1"/>
    <col min="26" max="26" width="12.140625" customWidth="1"/>
    <col min="27" max="27" width="16.85546875" customWidth="1"/>
    <col min="28" max="29" width="15.7109375" customWidth="1"/>
    <col min="30" max="30" width="17" customWidth="1"/>
    <col min="31" max="34" width="15.7109375" customWidth="1"/>
    <col min="35" max="35" width="16.7109375" customWidth="1"/>
    <col min="36" max="36" width="15.7109375" customWidth="1"/>
    <col min="37" max="37" width="17" customWidth="1"/>
    <col min="38" max="38" width="15.7109375" customWidth="1"/>
    <col min="39" max="39" width="18.28515625" customWidth="1"/>
    <col min="40" max="62" width="15.7109375" customWidth="1"/>
    <col min="63" max="64" width="17" customWidth="1"/>
    <col min="65" max="65" width="17.28515625" customWidth="1"/>
    <col min="66" max="66" width="17.7109375" bestFit="1" customWidth="1"/>
    <col min="67" max="67" width="16.28515625" customWidth="1"/>
    <col min="68" max="71" width="17.7109375" bestFit="1" customWidth="1"/>
    <col min="72" max="72" width="17.7109375" customWidth="1"/>
    <col min="73" max="75" width="19.5703125" customWidth="1"/>
  </cols>
  <sheetData>
    <row r="1" spans="1:85" ht="15.75">
      <c r="A1" s="2" t="s">
        <v>0</v>
      </c>
      <c r="B1" s="3"/>
      <c r="C1" s="4"/>
      <c r="D1" s="5"/>
      <c r="E1" s="668" t="s">
        <v>1</v>
      </c>
      <c r="F1" s="639"/>
      <c r="G1" s="639"/>
      <c r="H1" s="639"/>
      <c r="I1" s="639"/>
      <c r="J1" s="637"/>
      <c r="K1" s="660" t="s">
        <v>2</v>
      </c>
      <c r="L1" s="661"/>
      <c r="M1" s="661"/>
      <c r="N1" s="662"/>
      <c r="O1" s="663" t="s">
        <v>3</v>
      </c>
      <c r="P1" s="639"/>
      <c r="Q1" s="637"/>
      <c r="R1" s="664" t="s">
        <v>4</v>
      </c>
      <c r="S1" s="655"/>
      <c r="T1" s="656"/>
      <c r="U1" s="665" t="s">
        <v>5</v>
      </c>
      <c r="V1" s="655"/>
      <c r="W1" s="656"/>
      <c r="X1" s="666" t="s">
        <v>6</v>
      </c>
      <c r="Y1" s="655"/>
      <c r="Z1" s="656"/>
      <c r="AA1" s="654" t="s">
        <v>7</v>
      </c>
      <c r="AB1" s="655"/>
      <c r="AC1" s="656"/>
      <c r="AD1" s="654" t="s">
        <v>8</v>
      </c>
      <c r="AE1" s="655"/>
      <c r="AF1" s="656"/>
      <c r="AG1" s="654" t="s">
        <v>9</v>
      </c>
      <c r="AH1" s="655"/>
      <c r="AI1" s="656"/>
      <c r="AJ1" s="654" t="s">
        <v>10</v>
      </c>
      <c r="AK1" s="655"/>
      <c r="AL1" s="656"/>
      <c r="AM1" s="654" t="s">
        <v>11</v>
      </c>
      <c r="AN1" s="655"/>
      <c r="AO1" s="656"/>
      <c r="AP1" s="654" t="s">
        <v>12</v>
      </c>
      <c r="AQ1" s="655"/>
      <c r="AR1" s="656"/>
      <c r="AS1" s="654" t="s">
        <v>13</v>
      </c>
      <c r="AT1" s="655"/>
      <c r="AU1" s="656"/>
      <c r="AV1" s="654" t="s">
        <v>14</v>
      </c>
      <c r="AW1" s="655"/>
      <c r="AX1" s="656"/>
      <c r="AY1" s="654" t="s">
        <v>15</v>
      </c>
      <c r="AZ1" s="655"/>
      <c r="BA1" s="656"/>
      <c r="BB1" s="654" t="s">
        <v>16</v>
      </c>
      <c r="BC1" s="655"/>
      <c r="BD1" s="656"/>
      <c r="BE1" s="654" t="s">
        <v>17</v>
      </c>
      <c r="BF1" s="655"/>
      <c r="BG1" s="656"/>
      <c r="BH1" s="654" t="s">
        <v>18</v>
      </c>
      <c r="BI1" s="655"/>
      <c r="BJ1" s="656"/>
      <c r="BK1" s="654" t="s">
        <v>19</v>
      </c>
      <c r="BL1" s="655"/>
      <c r="BM1" s="656"/>
      <c r="BN1" s="659" t="s">
        <v>20</v>
      </c>
      <c r="BO1" s="639"/>
      <c r="BP1" s="637"/>
      <c r="BQ1" s="659" t="s">
        <v>21</v>
      </c>
      <c r="BR1" s="639"/>
      <c r="BS1" s="637"/>
      <c r="BT1" s="657" t="s">
        <v>22</v>
      </c>
      <c r="BU1" s="657" t="s">
        <v>23</v>
      </c>
      <c r="BV1" s="657" t="s">
        <v>24</v>
      </c>
      <c r="BW1" s="657" t="s">
        <v>25</v>
      </c>
      <c r="BX1" s="6"/>
      <c r="BY1" s="6"/>
      <c r="BZ1" s="6"/>
      <c r="CA1" s="6"/>
      <c r="CB1" s="6"/>
      <c r="CC1" s="6"/>
      <c r="CD1" s="6"/>
      <c r="CE1" s="6"/>
      <c r="CF1" s="6"/>
      <c r="CG1" s="6"/>
    </row>
    <row r="2" spans="1:85" ht="94.5">
      <c r="A2" s="667" t="s">
        <v>26</v>
      </c>
      <c r="B2" s="639"/>
      <c r="C2" s="7">
        <v>2023</v>
      </c>
      <c r="D2" s="8" t="s">
        <v>27</v>
      </c>
      <c r="E2" s="9" t="s">
        <v>28</v>
      </c>
      <c r="F2" s="9" t="s">
        <v>29</v>
      </c>
      <c r="G2" s="9" t="s">
        <v>30</v>
      </c>
      <c r="H2" s="10" t="s">
        <v>31</v>
      </c>
      <c r="I2" s="11" t="s">
        <v>32</v>
      </c>
      <c r="J2" s="11" t="s">
        <v>33</v>
      </c>
      <c r="K2" s="12" t="s">
        <v>34</v>
      </c>
      <c r="L2" s="13" t="s">
        <v>35</v>
      </c>
      <c r="M2" s="14" t="s">
        <v>36</v>
      </c>
      <c r="N2" s="15" t="s">
        <v>37</v>
      </c>
      <c r="O2" s="16" t="s">
        <v>34</v>
      </c>
      <c r="P2" s="16" t="s">
        <v>35</v>
      </c>
      <c r="Q2" s="17" t="s">
        <v>38</v>
      </c>
      <c r="R2" s="16" t="s">
        <v>34</v>
      </c>
      <c r="S2" s="16" t="s">
        <v>35</v>
      </c>
      <c r="T2" s="17" t="s">
        <v>39</v>
      </c>
      <c r="U2" s="18" t="s">
        <v>40</v>
      </c>
      <c r="V2" s="19" t="s">
        <v>35</v>
      </c>
      <c r="W2" s="18" t="s">
        <v>41</v>
      </c>
      <c r="X2" s="20" t="s">
        <v>42</v>
      </c>
      <c r="Y2" s="21" t="s">
        <v>35</v>
      </c>
      <c r="Z2" s="20" t="s">
        <v>43</v>
      </c>
      <c r="AA2" s="13" t="s">
        <v>34</v>
      </c>
      <c r="AB2" s="13" t="s">
        <v>35</v>
      </c>
      <c r="AC2" s="14" t="s">
        <v>44</v>
      </c>
      <c r="AD2" s="13" t="s">
        <v>34</v>
      </c>
      <c r="AE2" s="13" t="s">
        <v>35</v>
      </c>
      <c r="AF2" s="14" t="s">
        <v>45</v>
      </c>
      <c r="AG2" s="13" t="s">
        <v>34</v>
      </c>
      <c r="AH2" s="13" t="s">
        <v>35</v>
      </c>
      <c r="AI2" s="14" t="s">
        <v>46</v>
      </c>
      <c r="AJ2" s="13" t="s">
        <v>34</v>
      </c>
      <c r="AK2" s="13" t="s">
        <v>35</v>
      </c>
      <c r="AL2" s="14" t="s">
        <v>47</v>
      </c>
      <c r="AM2" s="13" t="s">
        <v>34</v>
      </c>
      <c r="AN2" s="13" t="s">
        <v>35</v>
      </c>
      <c r="AO2" s="14" t="s">
        <v>48</v>
      </c>
      <c r="AP2" s="13" t="s">
        <v>34</v>
      </c>
      <c r="AQ2" s="13" t="s">
        <v>35</v>
      </c>
      <c r="AR2" s="14" t="s">
        <v>49</v>
      </c>
      <c r="AS2" s="13" t="s">
        <v>34</v>
      </c>
      <c r="AT2" s="13" t="s">
        <v>35</v>
      </c>
      <c r="AU2" s="14" t="s">
        <v>50</v>
      </c>
      <c r="AV2" s="13" t="s">
        <v>34</v>
      </c>
      <c r="AW2" s="13" t="s">
        <v>35</v>
      </c>
      <c r="AX2" s="14" t="s">
        <v>51</v>
      </c>
      <c r="AY2" s="13" t="s">
        <v>34</v>
      </c>
      <c r="AZ2" s="13" t="s">
        <v>35</v>
      </c>
      <c r="BA2" s="14" t="s">
        <v>52</v>
      </c>
      <c r="BB2" s="13" t="s">
        <v>34</v>
      </c>
      <c r="BC2" s="13" t="s">
        <v>35</v>
      </c>
      <c r="BD2" s="14" t="s">
        <v>53</v>
      </c>
      <c r="BE2" s="13" t="s">
        <v>34</v>
      </c>
      <c r="BF2" s="13" t="s">
        <v>35</v>
      </c>
      <c r="BG2" s="14" t="s">
        <v>54</v>
      </c>
      <c r="BH2" s="13" t="s">
        <v>34</v>
      </c>
      <c r="BI2" s="13" t="s">
        <v>35</v>
      </c>
      <c r="BJ2" s="14" t="s">
        <v>55</v>
      </c>
      <c r="BK2" s="13" t="s">
        <v>34</v>
      </c>
      <c r="BL2" s="13" t="s">
        <v>35</v>
      </c>
      <c r="BM2" s="14" t="s">
        <v>56</v>
      </c>
      <c r="BN2" s="13" t="s">
        <v>34</v>
      </c>
      <c r="BO2" s="14" t="s">
        <v>57</v>
      </c>
      <c r="BP2" s="14" t="s">
        <v>58</v>
      </c>
      <c r="BQ2" s="13" t="s">
        <v>34</v>
      </c>
      <c r="BR2" s="14" t="s">
        <v>59</v>
      </c>
      <c r="BS2" s="14" t="s">
        <v>58</v>
      </c>
      <c r="BT2" s="658"/>
      <c r="BU2" s="658"/>
      <c r="BV2" s="658"/>
      <c r="BW2" s="658"/>
      <c r="BX2" s="6"/>
      <c r="BY2" s="6"/>
      <c r="BZ2" s="6"/>
      <c r="CA2" s="6"/>
      <c r="CB2" s="6"/>
      <c r="CC2" s="6"/>
      <c r="CD2" s="6"/>
      <c r="CE2" s="6"/>
      <c r="CF2" s="6"/>
      <c r="CG2" s="6"/>
    </row>
    <row r="3" spans="1:85" ht="15.75">
      <c r="A3" s="22" t="s">
        <v>60</v>
      </c>
      <c r="B3" s="23" t="s">
        <v>61</v>
      </c>
      <c r="C3" s="22" t="s">
        <v>62</v>
      </c>
      <c r="D3" s="24" t="s">
        <v>63</v>
      </c>
      <c r="E3" s="25">
        <f t="shared" ref="E3:H3" si="0">E4+E16+E157+E271+E529+E762+E771+E773</f>
        <v>4909157.17</v>
      </c>
      <c r="F3" s="25">
        <f t="shared" si="0"/>
        <v>0</v>
      </c>
      <c r="G3" s="25">
        <f t="shared" si="0"/>
        <v>4909157.17</v>
      </c>
      <c r="H3" s="25">
        <f t="shared" si="0"/>
        <v>13172160.510000002</v>
      </c>
      <c r="I3" s="26">
        <f t="shared" ref="I3:I4" si="1">K3/G3</f>
        <v>0.90306703910235597</v>
      </c>
      <c r="J3" s="26">
        <f t="shared" ref="J3:J4" si="2">O3/G3</f>
        <v>0.3432422779814972</v>
      </c>
      <c r="K3" s="25">
        <f t="shared" ref="K3:W3" si="3">K4+K16+K157+K271+K529+K762+K771+K773</f>
        <v>4433298.0300000012</v>
      </c>
      <c r="L3" s="25">
        <f t="shared" si="3"/>
        <v>1710512.2999999998</v>
      </c>
      <c r="M3" s="25">
        <f t="shared" si="3"/>
        <v>0</v>
      </c>
      <c r="N3" s="25">
        <f t="shared" si="3"/>
        <v>2648059.15</v>
      </c>
      <c r="O3" s="25">
        <f t="shared" si="3"/>
        <v>1685030.29</v>
      </c>
      <c r="P3" s="25">
        <f t="shared" si="3"/>
        <v>1382597.13</v>
      </c>
      <c r="Q3" s="25">
        <f t="shared" si="3"/>
        <v>971285.39999999991</v>
      </c>
      <c r="R3" s="25">
        <f t="shared" si="3"/>
        <v>1685030.29</v>
      </c>
      <c r="S3" s="25">
        <f t="shared" si="3"/>
        <v>1382597.13</v>
      </c>
      <c r="T3" s="25">
        <f t="shared" si="3"/>
        <v>971285.39999999991</v>
      </c>
      <c r="U3" s="25">
        <f t="shared" si="3"/>
        <v>2748267.7399999998</v>
      </c>
      <c r="V3" s="25">
        <f t="shared" si="3"/>
        <v>327915.17000000004</v>
      </c>
      <c r="W3" s="25">
        <f t="shared" si="3"/>
        <v>1676773.75</v>
      </c>
      <c r="X3" s="26">
        <f t="shared" ref="X3:Y3" si="4">IF(O3&gt;0,O3/K3,0)</f>
        <v>0.38008504697799428</v>
      </c>
      <c r="Y3" s="26">
        <f t="shared" si="4"/>
        <v>0.80829417596120179</v>
      </c>
      <c r="Z3" s="26">
        <f t="shared" ref="Z3:Z37" si="5">IF(Q3&gt;0,Q3/N3,0)</f>
        <v>0.36679142911139273</v>
      </c>
      <c r="AA3" s="27">
        <f t="shared" ref="AA3:BW3" si="6">AA4+AA16+AA157+AA271+AA529+AA762+AA771+AA773</f>
        <v>93378.450000000012</v>
      </c>
      <c r="AB3" s="27">
        <f t="shared" si="6"/>
        <v>371583.61</v>
      </c>
      <c r="AC3" s="27">
        <f t="shared" si="6"/>
        <v>0</v>
      </c>
      <c r="AD3" s="27">
        <f t="shared" si="6"/>
        <v>168750.14</v>
      </c>
      <c r="AE3" s="27">
        <f t="shared" si="6"/>
        <v>347475.93000000005</v>
      </c>
      <c r="AF3" s="27">
        <f t="shared" si="6"/>
        <v>94301.75</v>
      </c>
      <c r="AG3" s="27">
        <f t="shared" si="6"/>
        <v>323840.52</v>
      </c>
      <c r="AH3" s="27">
        <f t="shared" si="6"/>
        <v>244921.60000000001</v>
      </c>
      <c r="AI3" s="27">
        <f t="shared" si="6"/>
        <v>191356.57</v>
      </c>
      <c r="AJ3" s="27">
        <f t="shared" si="6"/>
        <v>266110.07</v>
      </c>
      <c r="AK3" s="27">
        <f t="shared" si="6"/>
        <v>123791.76000000001</v>
      </c>
      <c r="AL3" s="27">
        <f t="shared" si="6"/>
        <v>183221.65</v>
      </c>
      <c r="AM3" s="27">
        <f t="shared" si="6"/>
        <v>429054.42000000004</v>
      </c>
      <c r="AN3" s="27">
        <f t="shared" si="6"/>
        <v>165769.21</v>
      </c>
      <c r="AO3" s="27">
        <f t="shared" si="6"/>
        <v>235295.01</v>
      </c>
      <c r="AP3" s="27">
        <f t="shared" si="6"/>
        <v>403846.59000000008</v>
      </c>
      <c r="AQ3" s="27">
        <f t="shared" si="6"/>
        <v>129055.01999999999</v>
      </c>
      <c r="AR3" s="27">
        <f t="shared" si="6"/>
        <v>267110.42000000004</v>
      </c>
      <c r="AS3" s="27">
        <f t="shared" si="6"/>
        <v>0</v>
      </c>
      <c r="AT3" s="27">
        <f t="shared" si="6"/>
        <v>0</v>
      </c>
      <c r="AU3" s="27">
        <f t="shared" si="6"/>
        <v>0</v>
      </c>
      <c r="AV3" s="27">
        <f t="shared" si="6"/>
        <v>0</v>
      </c>
      <c r="AW3" s="27">
        <f t="shared" si="6"/>
        <v>0</v>
      </c>
      <c r="AX3" s="27">
        <f t="shared" si="6"/>
        <v>0</v>
      </c>
      <c r="AY3" s="27">
        <f t="shared" si="6"/>
        <v>0</v>
      </c>
      <c r="AZ3" s="27">
        <f t="shared" si="6"/>
        <v>0</v>
      </c>
      <c r="BA3" s="27">
        <f t="shared" si="6"/>
        <v>0</v>
      </c>
      <c r="BB3" s="27">
        <f t="shared" si="6"/>
        <v>0</v>
      </c>
      <c r="BC3" s="27">
        <f t="shared" si="6"/>
        <v>0</v>
      </c>
      <c r="BD3" s="27">
        <f t="shared" si="6"/>
        <v>0</v>
      </c>
      <c r="BE3" s="27">
        <f t="shared" si="6"/>
        <v>0</v>
      </c>
      <c r="BF3" s="27">
        <f t="shared" si="6"/>
        <v>0</v>
      </c>
      <c r="BG3" s="27">
        <f t="shared" si="6"/>
        <v>0</v>
      </c>
      <c r="BH3" s="27">
        <f t="shared" si="6"/>
        <v>0</v>
      </c>
      <c r="BI3" s="27">
        <f t="shared" si="6"/>
        <v>0</v>
      </c>
      <c r="BJ3" s="27">
        <f t="shared" si="6"/>
        <v>0</v>
      </c>
      <c r="BK3" s="27">
        <f t="shared" si="6"/>
        <v>0</v>
      </c>
      <c r="BL3" s="27">
        <f t="shared" si="6"/>
        <v>0</v>
      </c>
      <c r="BM3" s="27">
        <f t="shared" si="6"/>
        <v>0</v>
      </c>
      <c r="BN3" s="27">
        <f t="shared" si="6"/>
        <v>1684301.15</v>
      </c>
      <c r="BO3" s="27">
        <f t="shared" si="6"/>
        <v>962244.11</v>
      </c>
      <c r="BP3" s="27">
        <f t="shared" si="6"/>
        <v>2646545.2599999998</v>
      </c>
      <c r="BQ3" s="27">
        <f t="shared" si="6"/>
        <v>2746578.5999999996</v>
      </c>
      <c r="BR3" s="27">
        <f t="shared" si="6"/>
        <v>1614495.04</v>
      </c>
      <c r="BS3" s="27">
        <f t="shared" si="6"/>
        <v>4361073.6399999997</v>
      </c>
      <c r="BT3" s="27">
        <f t="shared" si="6"/>
        <v>327915.17000000004</v>
      </c>
      <c r="BU3" s="27">
        <f t="shared" si="6"/>
        <v>2646545.2599999998</v>
      </c>
      <c r="BV3" s="27">
        <f t="shared" si="6"/>
        <v>4361073.6399999997</v>
      </c>
      <c r="BW3" s="27">
        <f t="shared" si="6"/>
        <v>7335534.0699999994</v>
      </c>
      <c r="BX3" s="6"/>
      <c r="BY3" s="6"/>
      <c r="BZ3" s="6"/>
      <c r="CA3" s="6"/>
      <c r="CB3" s="6"/>
      <c r="CC3" s="6"/>
      <c r="CD3" s="6"/>
      <c r="CE3" s="6"/>
      <c r="CF3" s="6"/>
      <c r="CG3" s="6"/>
    </row>
    <row r="4" spans="1:85" ht="15.75">
      <c r="A4" s="28" t="s">
        <v>64</v>
      </c>
      <c r="B4" s="29" t="s">
        <v>65</v>
      </c>
      <c r="C4" s="29"/>
      <c r="D4" s="30"/>
      <c r="E4" s="31">
        <f t="shared" ref="E4:H4" si="7">E5+E12</f>
        <v>10000</v>
      </c>
      <c r="F4" s="31">
        <f t="shared" si="7"/>
        <v>0</v>
      </c>
      <c r="G4" s="31">
        <f t="shared" si="7"/>
        <v>10000</v>
      </c>
      <c r="H4" s="31">
        <f t="shared" si="7"/>
        <v>15000</v>
      </c>
      <c r="I4" s="32">
        <f t="shared" si="1"/>
        <v>0.7</v>
      </c>
      <c r="J4" s="32">
        <f t="shared" si="2"/>
        <v>0.55322199999999999</v>
      </c>
      <c r="K4" s="33">
        <f t="shared" ref="K4:W4" si="8">K5+K12</f>
        <v>7000</v>
      </c>
      <c r="L4" s="33">
        <f t="shared" si="8"/>
        <v>0</v>
      </c>
      <c r="M4" s="33">
        <f t="shared" si="8"/>
        <v>0</v>
      </c>
      <c r="N4" s="33">
        <f t="shared" si="8"/>
        <v>0</v>
      </c>
      <c r="O4" s="33">
        <f t="shared" si="8"/>
        <v>5532.22</v>
      </c>
      <c r="P4" s="33">
        <f t="shared" si="8"/>
        <v>0</v>
      </c>
      <c r="Q4" s="33">
        <f t="shared" si="8"/>
        <v>0</v>
      </c>
      <c r="R4" s="33">
        <f t="shared" si="8"/>
        <v>5532.22</v>
      </c>
      <c r="S4" s="33">
        <f t="shared" si="8"/>
        <v>0</v>
      </c>
      <c r="T4" s="33">
        <f t="shared" si="8"/>
        <v>0</v>
      </c>
      <c r="U4" s="33">
        <f t="shared" si="8"/>
        <v>1467.7799999999997</v>
      </c>
      <c r="V4" s="33">
        <f t="shared" si="8"/>
        <v>0</v>
      </c>
      <c r="W4" s="33">
        <f t="shared" si="8"/>
        <v>0</v>
      </c>
      <c r="X4" s="32">
        <f t="shared" ref="X4:Y4" si="9">IF(O4&gt;0,O4/K4,0)</f>
        <v>0.79031714285714294</v>
      </c>
      <c r="Y4" s="32">
        <f t="shared" si="9"/>
        <v>0</v>
      </c>
      <c r="Z4" s="32">
        <f t="shared" si="5"/>
        <v>0</v>
      </c>
      <c r="AA4" s="33">
        <f t="shared" ref="AA4:BW4" si="10">AA5+AA12</f>
        <v>0</v>
      </c>
      <c r="AB4" s="33">
        <f t="shared" si="10"/>
        <v>0</v>
      </c>
      <c r="AC4" s="33">
        <f t="shared" si="10"/>
        <v>0</v>
      </c>
      <c r="AD4" s="33">
        <f t="shared" si="10"/>
        <v>0</v>
      </c>
      <c r="AE4" s="33">
        <f t="shared" si="10"/>
        <v>0</v>
      </c>
      <c r="AF4" s="33">
        <f t="shared" si="10"/>
        <v>0</v>
      </c>
      <c r="AG4" s="33">
        <f t="shared" si="10"/>
        <v>0</v>
      </c>
      <c r="AH4" s="33">
        <f t="shared" si="10"/>
        <v>0</v>
      </c>
      <c r="AI4" s="33">
        <f t="shared" si="10"/>
        <v>0</v>
      </c>
      <c r="AJ4" s="33">
        <f t="shared" si="10"/>
        <v>0</v>
      </c>
      <c r="AK4" s="33">
        <f t="shared" si="10"/>
        <v>0</v>
      </c>
      <c r="AL4" s="33">
        <f t="shared" si="10"/>
        <v>0</v>
      </c>
      <c r="AM4" s="33">
        <f t="shared" si="10"/>
        <v>4357.63</v>
      </c>
      <c r="AN4" s="33">
        <f t="shared" si="10"/>
        <v>0</v>
      </c>
      <c r="AO4" s="33">
        <f t="shared" si="10"/>
        <v>0</v>
      </c>
      <c r="AP4" s="33">
        <f t="shared" si="10"/>
        <v>1174.5899999999999</v>
      </c>
      <c r="AQ4" s="33">
        <f t="shared" si="10"/>
        <v>0</v>
      </c>
      <c r="AR4" s="33">
        <f t="shared" si="10"/>
        <v>0</v>
      </c>
      <c r="AS4" s="33">
        <f t="shared" si="10"/>
        <v>0</v>
      </c>
      <c r="AT4" s="33">
        <f t="shared" si="10"/>
        <v>0</v>
      </c>
      <c r="AU4" s="33">
        <f t="shared" si="10"/>
        <v>0</v>
      </c>
      <c r="AV4" s="33">
        <f t="shared" si="10"/>
        <v>0</v>
      </c>
      <c r="AW4" s="33">
        <f t="shared" si="10"/>
        <v>0</v>
      </c>
      <c r="AX4" s="33">
        <f t="shared" si="10"/>
        <v>0</v>
      </c>
      <c r="AY4" s="33">
        <f t="shared" si="10"/>
        <v>0</v>
      </c>
      <c r="AZ4" s="33">
        <f t="shared" si="10"/>
        <v>0</v>
      </c>
      <c r="BA4" s="33">
        <f t="shared" si="10"/>
        <v>0</v>
      </c>
      <c r="BB4" s="33">
        <f t="shared" si="10"/>
        <v>0</v>
      </c>
      <c r="BC4" s="33">
        <f t="shared" si="10"/>
        <v>0</v>
      </c>
      <c r="BD4" s="33">
        <f t="shared" si="10"/>
        <v>0</v>
      </c>
      <c r="BE4" s="33">
        <f t="shared" si="10"/>
        <v>0</v>
      </c>
      <c r="BF4" s="33">
        <f t="shared" si="10"/>
        <v>0</v>
      </c>
      <c r="BG4" s="33">
        <f t="shared" si="10"/>
        <v>0</v>
      </c>
      <c r="BH4" s="33">
        <f t="shared" si="10"/>
        <v>0</v>
      </c>
      <c r="BI4" s="33">
        <f t="shared" si="10"/>
        <v>0</v>
      </c>
      <c r="BJ4" s="33">
        <f t="shared" si="10"/>
        <v>0</v>
      </c>
      <c r="BK4" s="33">
        <f t="shared" si="10"/>
        <v>0</v>
      </c>
      <c r="BL4" s="33">
        <f t="shared" si="10"/>
        <v>0</v>
      </c>
      <c r="BM4" s="33">
        <f t="shared" si="10"/>
        <v>0</v>
      </c>
      <c r="BN4" s="33">
        <f t="shared" si="10"/>
        <v>5532.22</v>
      </c>
      <c r="BO4" s="33">
        <f t="shared" si="10"/>
        <v>0</v>
      </c>
      <c r="BP4" s="33">
        <f t="shared" si="10"/>
        <v>5532.22</v>
      </c>
      <c r="BQ4" s="33">
        <f t="shared" si="10"/>
        <v>1467.7799999999997</v>
      </c>
      <c r="BR4" s="33">
        <f t="shared" si="10"/>
        <v>0</v>
      </c>
      <c r="BS4" s="33">
        <f t="shared" si="10"/>
        <v>1467.7799999999997</v>
      </c>
      <c r="BT4" s="33">
        <f t="shared" si="10"/>
        <v>0</v>
      </c>
      <c r="BU4" s="33">
        <f t="shared" si="10"/>
        <v>5532.22</v>
      </c>
      <c r="BV4" s="33">
        <f t="shared" si="10"/>
        <v>1467.7799999999997</v>
      </c>
      <c r="BW4" s="33">
        <f t="shared" si="10"/>
        <v>7000</v>
      </c>
      <c r="BX4" s="6"/>
      <c r="BY4" s="6"/>
      <c r="BZ4" s="6"/>
      <c r="CA4" s="6"/>
      <c r="CB4" s="6"/>
      <c r="CC4" s="6"/>
      <c r="CD4" s="6"/>
      <c r="CE4" s="6"/>
      <c r="CF4" s="6"/>
      <c r="CG4" s="6"/>
    </row>
    <row r="5" spans="1:85" ht="15.75" customHeight="1">
      <c r="A5" s="34"/>
      <c r="B5" s="35"/>
      <c r="C5" s="36"/>
      <c r="D5" s="37" t="s">
        <v>66</v>
      </c>
      <c r="E5" s="38">
        <f t="shared" ref="E5:H5" si="11">E6</f>
        <v>10000</v>
      </c>
      <c r="F5" s="38">
        <f t="shared" si="11"/>
        <v>0</v>
      </c>
      <c r="G5" s="38">
        <f t="shared" si="11"/>
        <v>10000</v>
      </c>
      <c r="H5" s="38">
        <f t="shared" si="11"/>
        <v>0</v>
      </c>
      <c r="I5" s="39">
        <f t="shared" ref="I5:I15" si="12">IF(G5&gt;0,K5/G5,0)</f>
        <v>0.7</v>
      </c>
      <c r="J5" s="39">
        <f t="shared" ref="J5:J15" si="13">IF(G5&gt;0,O5/G5,0)</f>
        <v>0.55322199999999999</v>
      </c>
      <c r="K5" s="38">
        <f t="shared" ref="K5:W5" si="14">K6+K10</f>
        <v>7000</v>
      </c>
      <c r="L5" s="38">
        <f t="shared" si="14"/>
        <v>0</v>
      </c>
      <c r="M5" s="38">
        <f t="shared" si="14"/>
        <v>0</v>
      </c>
      <c r="N5" s="38">
        <f t="shared" si="14"/>
        <v>0</v>
      </c>
      <c r="O5" s="38">
        <f t="shared" si="14"/>
        <v>5532.22</v>
      </c>
      <c r="P5" s="38">
        <f t="shared" si="14"/>
        <v>0</v>
      </c>
      <c r="Q5" s="38">
        <f t="shared" si="14"/>
        <v>0</v>
      </c>
      <c r="R5" s="38">
        <f t="shared" si="14"/>
        <v>5532.22</v>
      </c>
      <c r="S5" s="38">
        <f t="shared" si="14"/>
        <v>0</v>
      </c>
      <c r="T5" s="38">
        <f t="shared" si="14"/>
        <v>0</v>
      </c>
      <c r="U5" s="38">
        <f t="shared" si="14"/>
        <v>1467.7799999999997</v>
      </c>
      <c r="V5" s="38">
        <f t="shared" si="14"/>
        <v>0</v>
      </c>
      <c r="W5" s="38">
        <f t="shared" si="14"/>
        <v>0</v>
      </c>
      <c r="X5" s="40">
        <f t="shared" ref="X5:Y5" si="15">IF(O5&gt;0,O5/K5,0)</f>
        <v>0.79031714285714294</v>
      </c>
      <c r="Y5" s="40">
        <f t="shared" si="15"/>
        <v>0</v>
      </c>
      <c r="Z5" s="40">
        <f t="shared" si="5"/>
        <v>0</v>
      </c>
      <c r="AA5" s="38">
        <f t="shared" ref="AA5:BW5" si="16">AA6+AA10</f>
        <v>0</v>
      </c>
      <c r="AB5" s="38">
        <f t="shared" si="16"/>
        <v>0</v>
      </c>
      <c r="AC5" s="38">
        <f t="shared" si="16"/>
        <v>0</v>
      </c>
      <c r="AD5" s="38">
        <f t="shared" si="16"/>
        <v>0</v>
      </c>
      <c r="AE5" s="38">
        <f t="shared" si="16"/>
        <v>0</v>
      </c>
      <c r="AF5" s="38">
        <f t="shared" si="16"/>
        <v>0</v>
      </c>
      <c r="AG5" s="38">
        <f t="shared" si="16"/>
        <v>0</v>
      </c>
      <c r="AH5" s="38">
        <f t="shared" si="16"/>
        <v>0</v>
      </c>
      <c r="AI5" s="38">
        <f t="shared" si="16"/>
        <v>0</v>
      </c>
      <c r="AJ5" s="38">
        <f t="shared" si="16"/>
        <v>0</v>
      </c>
      <c r="AK5" s="38">
        <f t="shared" si="16"/>
        <v>0</v>
      </c>
      <c r="AL5" s="38">
        <f t="shared" si="16"/>
        <v>0</v>
      </c>
      <c r="AM5" s="38">
        <f t="shared" si="16"/>
        <v>4357.63</v>
      </c>
      <c r="AN5" s="38">
        <f t="shared" si="16"/>
        <v>0</v>
      </c>
      <c r="AO5" s="38">
        <f t="shared" si="16"/>
        <v>0</v>
      </c>
      <c r="AP5" s="38">
        <f t="shared" si="16"/>
        <v>1174.5899999999999</v>
      </c>
      <c r="AQ5" s="38">
        <f t="shared" si="16"/>
        <v>0</v>
      </c>
      <c r="AR5" s="38">
        <f t="shared" si="16"/>
        <v>0</v>
      </c>
      <c r="AS5" s="38">
        <f t="shared" si="16"/>
        <v>0</v>
      </c>
      <c r="AT5" s="38">
        <f t="shared" si="16"/>
        <v>0</v>
      </c>
      <c r="AU5" s="38">
        <f t="shared" si="16"/>
        <v>0</v>
      </c>
      <c r="AV5" s="38">
        <f t="shared" si="16"/>
        <v>0</v>
      </c>
      <c r="AW5" s="38">
        <f t="shared" si="16"/>
        <v>0</v>
      </c>
      <c r="AX5" s="38">
        <f t="shared" si="16"/>
        <v>0</v>
      </c>
      <c r="AY5" s="38">
        <f t="shared" si="16"/>
        <v>0</v>
      </c>
      <c r="AZ5" s="38">
        <f t="shared" si="16"/>
        <v>0</v>
      </c>
      <c r="BA5" s="38">
        <f t="shared" si="16"/>
        <v>0</v>
      </c>
      <c r="BB5" s="38">
        <f t="shared" si="16"/>
        <v>0</v>
      </c>
      <c r="BC5" s="38">
        <f t="shared" si="16"/>
        <v>0</v>
      </c>
      <c r="BD5" s="38">
        <f t="shared" si="16"/>
        <v>0</v>
      </c>
      <c r="BE5" s="38">
        <f t="shared" si="16"/>
        <v>0</v>
      </c>
      <c r="BF5" s="38">
        <f t="shared" si="16"/>
        <v>0</v>
      </c>
      <c r="BG5" s="38">
        <f t="shared" si="16"/>
        <v>0</v>
      </c>
      <c r="BH5" s="38">
        <f t="shared" si="16"/>
        <v>0</v>
      </c>
      <c r="BI5" s="38">
        <f t="shared" si="16"/>
        <v>0</v>
      </c>
      <c r="BJ5" s="38">
        <f t="shared" si="16"/>
        <v>0</v>
      </c>
      <c r="BK5" s="38">
        <f t="shared" si="16"/>
        <v>0</v>
      </c>
      <c r="BL5" s="38">
        <f t="shared" si="16"/>
        <v>0</v>
      </c>
      <c r="BM5" s="38">
        <f t="shared" si="16"/>
        <v>0</v>
      </c>
      <c r="BN5" s="38">
        <f t="shared" si="16"/>
        <v>5532.22</v>
      </c>
      <c r="BO5" s="38">
        <f t="shared" si="16"/>
        <v>0</v>
      </c>
      <c r="BP5" s="38">
        <f t="shared" si="16"/>
        <v>5532.22</v>
      </c>
      <c r="BQ5" s="38">
        <f t="shared" si="16"/>
        <v>1467.7799999999997</v>
      </c>
      <c r="BR5" s="38">
        <f t="shared" si="16"/>
        <v>0</v>
      </c>
      <c r="BS5" s="38">
        <f t="shared" si="16"/>
        <v>1467.7799999999997</v>
      </c>
      <c r="BT5" s="38">
        <f t="shared" si="16"/>
        <v>0</v>
      </c>
      <c r="BU5" s="38">
        <f t="shared" si="16"/>
        <v>5532.22</v>
      </c>
      <c r="BV5" s="38">
        <f t="shared" si="16"/>
        <v>1467.7799999999997</v>
      </c>
      <c r="BW5" s="38">
        <f t="shared" si="16"/>
        <v>7000</v>
      </c>
      <c r="BX5" s="6"/>
      <c r="BY5" s="6"/>
      <c r="BZ5" s="6"/>
      <c r="CA5" s="6"/>
      <c r="CB5" s="6"/>
      <c r="CC5" s="6"/>
      <c r="CD5" s="6"/>
      <c r="CE5" s="6"/>
      <c r="CF5" s="6"/>
      <c r="CG5" s="6"/>
    </row>
    <row r="6" spans="1:85" ht="15.75">
      <c r="A6" s="41"/>
      <c r="B6" s="42"/>
      <c r="C6" s="43"/>
      <c r="D6" s="44" t="s">
        <v>67</v>
      </c>
      <c r="E6" s="45">
        <f t="shared" ref="E6:H6" si="17">SUM(E7:E9)</f>
        <v>10000</v>
      </c>
      <c r="F6" s="46">
        <f t="shared" si="17"/>
        <v>0</v>
      </c>
      <c r="G6" s="46">
        <f t="shared" si="17"/>
        <v>10000</v>
      </c>
      <c r="H6" s="46">
        <f t="shared" si="17"/>
        <v>0</v>
      </c>
      <c r="I6" s="47">
        <f t="shared" si="12"/>
        <v>0.6</v>
      </c>
      <c r="J6" s="47">
        <f t="shared" si="13"/>
        <v>0.55322199999999999</v>
      </c>
      <c r="K6" s="48">
        <f t="shared" ref="K6:W6" si="18">SUM(K7:K9)</f>
        <v>6000</v>
      </c>
      <c r="L6" s="49">
        <f t="shared" si="18"/>
        <v>0</v>
      </c>
      <c r="M6" s="49">
        <f t="shared" si="18"/>
        <v>0</v>
      </c>
      <c r="N6" s="48">
        <f t="shared" si="18"/>
        <v>0</v>
      </c>
      <c r="O6" s="49">
        <f t="shared" si="18"/>
        <v>5532.22</v>
      </c>
      <c r="P6" s="49">
        <f t="shared" si="18"/>
        <v>0</v>
      </c>
      <c r="Q6" s="49">
        <f t="shared" si="18"/>
        <v>0</v>
      </c>
      <c r="R6" s="49">
        <f t="shared" si="18"/>
        <v>5532.22</v>
      </c>
      <c r="S6" s="49">
        <f t="shared" si="18"/>
        <v>0</v>
      </c>
      <c r="T6" s="49">
        <f t="shared" si="18"/>
        <v>0</v>
      </c>
      <c r="U6" s="48">
        <f t="shared" si="18"/>
        <v>467.77999999999975</v>
      </c>
      <c r="V6" s="48">
        <f t="shared" si="18"/>
        <v>0</v>
      </c>
      <c r="W6" s="48">
        <f t="shared" si="18"/>
        <v>0</v>
      </c>
      <c r="X6" s="50">
        <f t="shared" ref="X6:Y6" si="19">IF(O6&gt;0,O6/K6,0)</f>
        <v>0.92203666666666673</v>
      </c>
      <c r="Y6" s="50">
        <f t="shared" si="19"/>
        <v>0</v>
      </c>
      <c r="Z6" s="50">
        <f t="shared" si="5"/>
        <v>0</v>
      </c>
      <c r="AA6" s="49">
        <f t="shared" ref="AA6:BW6" si="20">SUM(AA7:AA9)</f>
        <v>0</v>
      </c>
      <c r="AB6" s="49">
        <f t="shared" si="20"/>
        <v>0</v>
      </c>
      <c r="AC6" s="49">
        <f t="shared" si="20"/>
        <v>0</v>
      </c>
      <c r="AD6" s="49">
        <f t="shared" si="20"/>
        <v>0</v>
      </c>
      <c r="AE6" s="49">
        <f t="shared" si="20"/>
        <v>0</v>
      </c>
      <c r="AF6" s="49">
        <f t="shared" si="20"/>
        <v>0</v>
      </c>
      <c r="AG6" s="49">
        <f t="shared" si="20"/>
        <v>0</v>
      </c>
      <c r="AH6" s="49">
        <f t="shared" si="20"/>
        <v>0</v>
      </c>
      <c r="AI6" s="49">
        <f t="shared" si="20"/>
        <v>0</v>
      </c>
      <c r="AJ6" s="49">
        <f t="shared" si="20"/>
        <v>0</v>
      </c>
      <c r="AK6" s="49">
        <f t="shared" si="20"/>
        <v>0</v>
      </c>
      <c r="AL6" s="49">
        <f t="shared" si="20"/>
        <v>0</v>
      </c>
      <c r="AM6" s="49">
        <f t="shared" si="20"/>
        <v>4357.63</v>
      </c>
      <c r="AN6" s="49">
        <f t="shared" si="20"/>
        <v>0</v>
      </c>
      <c r="AO6" s="49">
        <f t="shared" si="20"/>
        <v>0</v>
      </c>
      <c r="AP6" s="49">
        <f t="shared" si="20"/>
        <v>1174.5899999999999</v>
      </c>
      <c r="AQ6" s="49">
        <f t="shared" si="20"/>
        <v>0</v>
      </c>
      <c r="AR6" s="49">
        <f t="shared" si="20"/>
        <v>0</v>
      </c>
      <c r="AS6" s="49">
        <f t="shared" si="20"/>
        <v>0</v>
      </c>
      <c r="AT6" s="49">
        <f t="shared" si="20"/>
        <v>0</v>
      </c>
      <c r="AU6" s="49">
        <f t="shared" si="20"/>
        <v>0</v>
      </c>
      <c r="AV6" s="49">
        <f t="shared" si="20"/>
        <v>0</v>
      </c>
      <c r="AW6" s="49">
        <f t="shared" si="20"/>
        <v>0</v>
      </c>
      <c r="AX6" s="49">
        <f t="shared" si="20"/>
        <v>0</v>
      </c>
      <c r="AY6" s="49">
        <f t="shared" si="20"/>
        <v>0</v>
      </c>
      <c r="AZ6" s="49">
        <f t="shared" si="20"/>
        <v>0</v>
      </c>
      <c r="BA6" s="49">
        <f t="shared" si="20"/>
        <v>0</v>
      </c>
      <c r="BB6" s="49">
        <f t="shared" si="20"/>
        <v>0</v>
      </c>
      <c r="BC6" s="49">
        <f t="shared" si="20"/>
        <v>0</v>
      </c>
      <c r="BD6" s="49">
        <f t="shared" si="20"/>
        <v>0</v>
      </c>
      <c r="BE6" s="49">
        <f t="shared" si="20"/>
        <v>0</v>
      </c>
      <c r="BF6" s="49">
        <f t="shared" si="20"/>
        <v>0</v>
      </c>
      <c r="BG6" s="49">
        <f t="shared" si="20"/>
        <v>0</v>
      </c>
      <c r="BH6" s="49">
        <f t="shared" si="20"/>
        <v>0</v>
      </c>
      <c r="BI6" s="49">
        <f t="shared" si="20"/>
        <v>0</v>
      </c>
      <c r="BJ6" s="49">
        <f t="shared" si="20"/>
        <v>0</v>
      </c>
      <c r="BK6" s="49">
        <f t="shared" si="20"/>
        <v>0</v>
      </c>
      <c r="BL6" s="49">
        <f t="shared" si="20"/>
        <v>0</v>
      </c>
      <c r="BM6" s="49">
        <f t="shared" si="20"/>
        <v>0</v>
      </c>
      <c r="BN6" s="49">
        <f t="shared" si="20"/>
        <v>5532.22</v>
      </c>
      <c r="BO6" s="49">
        <f t="shared" si="20"/>
        <v>0</v>
      </c>
      <c r="BP6" s="49">
        <f t="shared" si="20"/>
        <v>5532.22</v>
      </c>
      <c r="BQ6" s="49">
        <f t="shared" si="20"/>
        <v>467.77999999999975</v>
      </c>
      <c r="BR6" s="49">
        <f t="shared" si="20"/>
        <v>0</v>
      </c>
      <c r="BS6" s="49">
        <f t="shared" si="20"/>
        <v>467.77999999999975</v>
      </c>
      <c r="BT6" s="49">
        <f t="shared" si="20"/>
        <v>0</v>
      </c>
      <c r="BU6" s="49">
        <f t="shared" si="20"/>
        <v>5532.22</v>
      </c>
      <c r="BV6" s="49">
        <f t="shared" si="20"/>
        <v>467.77999999999975</v>
      </c>
      <c r="BW6" s="49">
        <f t="shared" si="20"/>
        <v>6000</v>
      </c>
      <c r="BX6" s="51"/>
      <c r="BY6" s="51"/>
      <c r="BZ6" s="51"/>
      <c r="CA6" s="51"/>
      <c r="CB6" s="51"/>
      <c r="CC6" s="51"/>
      <c r="CD6" s="51"/>
      <c r="CE6" s="51"/>
      <c r="CF6" s="51"/>
      <c r="CG6" s="51"/>
    </row>
    <row r="7" spans="1:85" ht="15.75">
      <c r="A7" s="52" t="s">
        <v>68</v>
      </c>
      <c r="B7" s="53"/>
      <c r="C7" s="54" t="s">
        <v>69</v>
      </c>
      <c r="D7" s="55" t="s">
        <v>70</v>
      </c>
      <c r="E7" s="56">
        <v>8000</v>
      </c>
      <c r="F7" s="57">
        <v>0</v>
      </c>
      <c r="G7" s="58">
        <f t="shared" ref="G7:G9" si="21">E7-F7</f>
        <v>8000</v>
      </c>
      <c r="H7" s="57">
        <v>0</v>
      </c>
      <c r="I7" s="59">
        <f t="shared" si="12"/>
        <v>0.75</v>
      </c>
      <c r="J7" s="59">
        <f t="shared" si="13"/>
        <v>0.69152750000000007</v>
      </c>
      <c r="K7" s="60">
        <f>1000+5000</f>
        <v>6000</v>
      </c>
      <c r="L7" s="60">
        <v>0</v>
      </c>
      <c r="M7" s="60">
        <v>0</v>
      </c>
      <c r="N7" s="60">
        <v>0</v>
      </c>
      <c r="O7" s="61">
        <f t="shared" ref="O7:Q7" si="22">AA7+AD7+AG7+AJ7+AM7+AP7+AS7+AV7+AY7+BB7+BE7+BH7</f>
        <v>5532.22</v>
      </c>
      <c r="P7" s="61">
        <f t="shared" si="22"/>
        <v>0</v>
      </c>
      <c r="Q7" s="61">
        <f t="shared" si="22"/>
        <v>0</v>
      </c>
      <c r="R7" s="61">
        <f t="shared" ref="R7:T7" si="23">IF(BK7=0,SUM(AA7+AD7+AG7+AJ7+AM7+AP7+AS7+AV7+AY7+BB7+BE7+BH7),BK7)</f>
        <v>5532.22</v>
      </c>
      <c r="S7" s="61">
        <f t="shared" si="23"/>
        <v>0</v>
      </c>
      <c r="T7" s="61">
        <f t="shared" si="23"/>
        <v>0</v>
      </c>
      <c r="U7" s="62">
        <f t="shared" ref="U7:U9" si="24">K7-O7</f>
        <v>467.77999999999975</v>
      </c>
      <c r="V7" s="63">
        <f t="shared" ref="V7:V9" si="25">L7-M7-S7</f>
        <v>0</v>
      </c>
      <c r="W7" s="63">
        <f t="shared" ref="W7:W9" si="26">N7-Q7</f>
        <v>0</v>
      </c>
      <c r="X7" s="64">
        <f t="shared" ref="X7:Y7" si="27">IF(O7&gt;0,O7/K7,0)</f>
        <v>0.92203666666666673</v>
      </c>
      <c r="Y7" s="64">
        <f t="shared" si="27"/>
        <v>0</v>
      </c>
      <c r="Z7" s="64">
        <f t="shared" si="5"/>
        <v>0</v>
      </c>
      <c r="AA7" s="65"/>
      <c r="AB7" s="65"/>
      <c r="AC7" s="65"/>
      <c r="AD7" s="65"/>
      <c r="AE7" s="66"/>
      <c r="AF7" s="66"/>
      <c r="AG7" s="66"/>
      <c r="AH7" s="66"/>
      <c r="AI7" s="65"/>
      <c r="AJ7" s="65"/>
      <c r="AK7" s="65"/>
      <c r="AL7" s="65"/>
      <c r="AM7" s="65">
        <f>141.21+141.21+1420.4+1420.4+1234.41</f>
        <v>4357.63</v>
      </c>
      <c r="AN7" s="65"/>
      <c r="AO7" s="65"/>
      <c r="AP7" s="65">
        <f>391.53*3</f>
        <v>1174.5899999999999</v>
      </c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>
        <v>0</v>
      </c>
      <c r="BL7" s="65">
        <v>0</v>
      </c>
      <c r="BM7" s="65">
        <v>0</v>
      </c>
      <c r="BN7" s="65">
        <f t="shared" ref="BN7:BN9" si="28">IF(O7-BK7&gt;0,O7-BK7,0)</f>
        <v>5532.22</v>
      </c>
      <c r="BO7" s="67">
        <f t="shared" ref="BO7:BO9" si="29">IF(Q7-BM7&gt;0,Q7-BM7,0)</f>
        <v>0</v>
      </c>
      <c r="BP7" s="65">
        <f t="shared" ref="BP7:BP9" si="30">IF(BN7+BO7&gt;0,BN7+BO7,0)</f>
        <v>5532.22</v>
      </c>
      <c r="BQ7" s="65">
        <f t="shared" ref="BQ7:BQ9" si="31">IF(U7=0,0,U7)</f>
        <v>467.77999999999975</v>
      </c>
      <c r="BR7" s="65">
        <f t="shared" ref="BR7:BR9" si="32">IF(W7=0,0,W7)</f>
        <v>0</v>
      </c>
      <c r="BS7" s="65">
        <f t="shared" ref="BS7:BS9" si="33">IF(BQ7+BR7&gt;0,BQ7+BR7,0)</f>
        <v>467.77999999999975</v>
      </c>
      <c r="BT7" s="65">
        <f t="shared" ref="BT7:BT9" si="34">IF(V7&gt;0,V7,0)</f>
        <v>0</v>
      </c>
      <c r="BU7" s="65">
        <f t="shared" ref="BU7:BU9" si="35">IF(BP7=0,0,BP7)</f>
        <v>5532.22</v>
      </c>
      <c r="BV7" s="65">
        <f t="shared" ref="BV7:BV9" si="36">IF(BS7=0,0,BS7)</f>
        <v>467.77999999999975</v>
      </c>
      <c r="BW7" s="65">
        <f t="shared" ref="BW7:BW9" si="37">IF(BP7+BT7+BV7&gt;0,BP7+BT7+BV7,0)</f>
        <v>6000</v>
      </c>
      <c r="BX7" s="6"/>
      <c r="BY7" s="6"/>
      <c r="BZ7" s="6"/>
      <c r="CA7" s="6"/>
      <c r="CB7" s="6"/>
      <c r="CC7" s="6"/>
      <c r="CD7" s="6"/>
      <c r="CE7" s="6"/>
      <c r="CF7" s="6"/>
      <c r="CG7" s="6"/>
    </row>
    <row r="8" spans="1:85" ht="15.75">
      <c r="A8" s="68"/>
      <c r="B8" s="69"/>
      <c r="C8" s="68" t="s">
        <v>71</v>
      </c>
      <c r="D8" s="70" t="s">
        <v>72</v>
      </c>
      <c r="E8" s="57">
        <v>0</v>
      </c>
      <c r="F8" s="57">
        <v>0</v>
      </c>
      <c r="G8" s="58">
        <f t="shared" si="21"/>
        <v>0</v>
      </c>
      <c r="H8" s="57">
        <v>0</v>
      </c>
      <c r="I8" s="59">
        <f t="shared" si="12"/>
        <v>0</v>
      </c>
      <c r="J8" s="59">
        <f t="shared" si="13"/>
        <v>0</v>
      </c>
      <c r="K8" s="60">
        <v>0</v>
      </c>
      <c r="L8" s="60">
        <v>0</v>
      </c>
      <c r="M8" s="60">
        <v>0</v>
      </c>
      <c r="N8" s="60">
        <v>0</v>
      </c>
      <c r="O8" s="61">
        <f t="shared" ref="O8:Q8" si="38">AA8+AD8+AG8+AJ8+AM8+AP8+AS8+AV8+AY8+BB8+BE8+BH8</f>
        <v>0</v>
      </c>
      <c r="P8" s="61">
        <f t="shared" si="38"/>
        <v>0</v>
      </c>
      <c r="Q8" s="61">
        <f t="shared" si="38"/>
        <v>0</v>
      </c>
      <c r="R8" s="61">
        <f t="shared" ref="R8:T8" si="39">IF(BK8=0,SUM(AA8+AD8+AG8+AJ8+AM8+AP8+AS8+AV8+AY8+BB8+BE8+BH8),BK8)</f>
        <v>0</v>
      </c>
      <c r="S8" s="61">
        <f t="shared" si="39"/>
        <v>0</v>
      </c>
      <c r="T8" s="61">
        <f t="shared" si="39"/>
        <v>0</v>
      </c>
      <c r="U8" s="63">
        <f t="shared" si="24"/>
        <v>0</v>
      </c>
      <c r="V8" s="63">
        <f t="shared" si="25"/>
        <v>0</v>
      </c>
      <c r="W8" s="63">
        <f t="shared" si="26"/>
        <v>0</v>
      </c>
      <c r="X8" s="64">
        <f t="shared" ref="X8:Y8" si="40">IF(O8&gt;0,O8/K8,0)</f>
        <v>0</v>
      </c>
      <c r="Y8" s="64">
        <f t="shared" si="40"/>
        <v>0</v>
      </c>
      <c r="Z8" s="64">
        <f t="shared" si="5"/>
        <v>0</v>
      </c>
      <c r="AA8" s="65"/>
      <c r="AB8" s="65"/>
      <c r="AC8" s="65"/>
      <c r="AD8" s="65"/>
      <c r="AE8" s="66"/>
      <c r="AF8" s="66"/>
      <c r="AG8" s="66"/>
      <c r="AH8" s="66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>
        <v>0</v>
      </c>
      <c r="BL8" s="65">
        <v>0</v>
      </c>
      <c r="BM8" s="65">
        <v>0</v>
      </c>
      <c r="BN8" s="65">
        <f t="shared" si="28"/>
        <v>0</v>
      </c>
      <c r="BO8" s="67">
        <f t="shared" si="29"/>
        <v>0</v>
      </c>
      <c r="BP8" s="65">
        <f t="shared" si="30"/>
        <v>0</v>
      </c>
      <c r="BQ8" s="65">
        <f t="shared" si="31"/>
        <v>0</v>
      </c>
      <c r="BR8" s="65">
        <f t="shared" si="32"/>
        <v>0</v>
      </c>
      <c r="BS8" s="65">
        <f t="shared" si="33"/>
        <v>0</v>
      </c>
      <c r="BT8" s="65">
        <f t="shared" si="34"/>
        <v>0</v>
      </c>
      <c r="BU8" s="65">
        <f t="shared" si="35"/>
        <v>0</v>
      </c>
      <c r="BV8" s="65">
        <f t="shared" si="36"/>
        <v>0</v>
      </c>
      <c r="BW8" s="65">
        <f t="shared" si="37"/>
        <v>0</v>
      </c>
      <c r="BX8" s="6"/>
      <c r="BY8" s="6"/>
      <c r="BZ8" s="6"/>
      <c r="CA8" s="6"/>
      <c r="CB8" s="6"/>
      <c r="CC8" s="6"/>
      <c r="CD8" s="6"/>
      <c r="CE8" s="6"/>
      <c r="CF8" s="6"/>
      <c r="CG8" s="6"/>
    </row>
    <row r="9" spans="1:85" ht="15.75" customHeight="1">
      <c r="A9" s="71"/>
      <c r="B9" s="72"/>
      <c r="C9" s="71" t="s">
        <v>73</v>
      </c>
      <c r="D9" s="73" t="s">
        <v>74</v>
      </c>
      <c r="E9" s="56">
        <v>2000</v>
      </c>
      <c r="F9" s="57">
        <v>0</v>
      </c>
      <c r="G9" s="58">
        <f t="shared" si="21"/>
        <v>2000</v>
      </c>
      <c r="H9" s="57">
        <v>0</v>
      </c>
      <c r="I9" s="59">
        <f t="shared" si="12"/>
        <v>0</v>
      </c>
      <c r="J9" s="59">
        <f t="shared" si="13"/>
        <v>0</v>
      </c>
      <c r="K9" s="74">
        <v>0</v>
      </c>
      <c r="L9" s="74">
        <v>0</v>
      </c>
      <c r="M9" s="74">
        <v>0</v>
      </c>
      <c r="N9" s="74">
        <v>0</v>
      </c>
      <c r="O9" s="61">
        <f t="shared" ref="O9:Q9" si="41">AA9+AD9+AG9+AJ9+AM9+AP9+AS9+AV9+AY9+BB9+BE9+BH9</f>
        <v>0</v>
      </c>
      <c r="P9" s="61">
        <f t="shared" si="41"/>
        <v>0</v>
      </c>
      <c r="Q9" s="61">
        <f t="shared" si="41"/>
        <v>0</v>
      </c>
      <c r="R9" s="61">
        <f t="shared" ref="R9:T9" si="42">IF(BK9=0,SUM(AA9+AD9+AG9+AJ9+AM9+AP9+AS9+AV9+AY9+BB9+BE9+BH9),BK9)</f>
        <v>0</v>
      </c>
      <c r="S9" s="61">
        <f t="shared" si="42"/>
        <v>0</v>
      </c>
      <c r="T9" s="61">
        <f t="shared" si="42"/>
        <v>0</v>
      </c>
      <c r="U9" s="63">
        <f t="shared" si="24"/>
        <v>0</v>
      </c>
      <c r="V9" s="63">
        <f t="shared" si="25"/>
        <v>0</v>
      </c>
      <c r="W9" s="63">
        <f t="shared" si="26"/>
        <v>0</v>
      </c>
      <c r="X9" s="64">
        <f t="shared" ref="X9:Y9" si="43">IF(O9&gt;0,O9/K9,0)</f>
        <v>0</v>
      </c>
      <c r="Y9" s="64">
        <f t="shared" si="43"/>
        <v>0</v>
      </c>
      <c r="Z9" s="64">
        <f t="shared" si="5"/>
        <v>0</v>
      </c>
      <c r="AA9" s="65"/>
      <c r="AB9" s="65"/>
      <c r="AC9" s="65"/>
      <c r="AD9" s="65"/>
      <c r="AE9" s="66"/>
      <c r="AF9" s="66"/>
      <c r="AG9" s="66"/>
      <c r="AH9" s="66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>
        <v>0</v>
      </c>
      <c r="BL9" s="65">
        <v>0</v>
      </c>
      <c r="BM9" s="65">
        <v>0</v>
      </c>
      <c r="BN9" s="65">
        <f t="shared" si="28"/>
        <v>0</v>
      </c>
      <c r="BO9" s="67">
        <f t="shared" si="29"/>
        <v>0</v>
      </c>
      <c r="BP9" s="65">
        <f t="shared" si="30"/>
        <v>0</v>
      </c>
      <c r="BQ9" s="65">
        <f t="shared" si="31"/>
        <v>0</v>
      </c>
      <c r="BR9" s="65">
        <f t="shared" si="32"/>
        <v>0</v>
      </c>
      <c r="BS9" s="65">
        <f t="shared" si="33"/>
        <v>0</v>
      </c>
      <c r="BT9" s="65">
        <f t="shared" si="34"/>
        <v>0</v>
      </c>
      <c r="BU9" s="65">
        <f t="shared" si="35"/>
        <v>0</v>
      </c>
      <c r="BV9" s="65">
        <f t="shared" si="36"/>
        <v>0</v>
      </c>
      <c r="BW9" s="65">
        <f t="shared" si="37"/>
        <v>0</v>
      </c>
      <c r="BX9" s="6"/>
      <c r="BY9" s="6"/>
      <c r="BZ9" s="6"/>
      <c r="CA9" s="6"/>
      <c r="CB9" s="6"/>
      <c r="CC9" s="6"/>
      <c r="CD9" s="6"/>
      <c r="CE9" s="6"/>
      <c r="CF9" s="6"/>
      <c r="CG9" s="6"/>
    </row>
    <row r="10" spans="1:85" ht="15.75">
      <c r="A10" s="75"/>
      <c r="B10" s="76"/>
      <c r="C10" s="77"/>
      <c r="D10" s="78" t="s">
        <v>75</v>
      </c>
      <c r="E10" s="45">
        <f t="shared" ref="E10:H10" si="44">SUM(E11)</f>
        <v>0</v>
      </c>
      <c r="F10" s="46">
        <f t="shared" si="44"/>
        <v>0</v>
      </c>
      <c r="G10" s="46">
        <f t="shared" si="44"/>
        <v>0</v>
      </c>
      <c r="H10" s="46">
        <f t="shared" si="44"/>
        <v>0</v>
      </c>
      <c r="I10" s="47">
        <f t="shared" si="12"/>
        <v>0</v>
      </c>
      <c r="J10" s="47">
        <f t="shared" si="13"/>
        <v>0</v>
      </c>
      <c r="K10" s="46">
        <f t="shared" ref="K10:W10" si="45">SUM(K11)</f>
        <v>1000</v>
      </c>
      <c r="L10" s="46">
        <f t="shared" si="45"/>
        <v>0</v>
      </c>
      <c r="M10" s="46">
        <f t="shared" si="45"/>
        <v>0</v>
      </c>
      <c r="N10" s="46">
        <f t="shared" si="45"/>
        <v>0</v>
      </c>
      <c r="O10" s="46">
        <f t="shared" si="45"/>
        <v>0</v>
      </c>
      <c r="P10" s="46">
        <f t="shared" si="45"/>
        <v>0</v>
      </c>
      <c r="Q10" s="46">
        <f t="shared" si="45"/>
        <v>0</v>
      </c>
      <c r="R10" s="46">
        <f t="shared" si="45"/>
        <v>0</v>
      </c>
      <c r="S10" s="46">
        <f t="shared" si="45"/>
        <v>0</v>
      </c>
      <c r="T10" s="46">
        <f t="shared" si="45"/>
        <v>0</v>
      </c>
      <c r="U10" s="46">
        <f t="shared" si="45"/>
        <v>1000</v>
      </c>
      <c r="V10" s="46">
        <f t="shared" si="45"/>
        <v>0</v>
      </c>
      <c r="W10" s="46">
        <f t="shared" si="45"/>
        <v>0</v>
      </c>
      <c r="X10" s="50">
        <f t="shared" ref="X10:Y10" si="46">IF(O10&gt;0,O10/K10,0)</f>
        <v>0</v>
      </c>
      <c r="Y10" s="50">
        <f t="shared" si="46"/>
        <v>0</v>
      </c>
      <c r="Z10" s="50">
        <f t="shared" si="5"/>
        <v>0</v>
      </c>
      <c r="AA10" s="46">
        <f t="shared" ref="AA10:BW10" si="47">SUM(AA11)</f>
        <v>0</v>
      </c>
      <c r="AB10" s="46">
        <f t="shared" si="47"/>
        <v>0</v>
      </c>
      <c r="AC10" s="46">
        <f t="shared" si="47"/>
        <v>0</v>
      </c>
      <c r="AD10" s="46">
        <f t="shared" si="47"/>
        <v>0</v>
      </c>
      <c r="AE10" s="46">
        <f t="shared" si="47"/>
        <v>0</v>
      </c>
      <c r="AF10" s="46">
        <f t="shared" si="47"/>
        <v>0</v>
      </c>
      <c r="AG10" s="46">
        <f t="shared" si="47"/>
        <v>0</v>
      </c>
      <c r="AH10" s="46">
        <f t="shared" si="47"/>
        <v>0</v>
      </c>
      <c r="AI10" s="46">
        <f t="shared" si="47"/>
        <v>0</v>
      </c>
      <c r="AJ10" s="46">
        <f t="shared" si="47"/>
        <v>0</v>
      </c>
      <c r="AK10" s="46">
        <f t="shared" si="47"/>
        <v>0</v>
      </c>
      <c r="AL10" s="46">
        <f t="shared" si="47"/>
        <v>0</v>
      </c>
      <c r="AM10" s="46">
        <f t="shared" si="47"/>
        <v>0</v>
      </c>
      <c r="AN10" s="46">
        <f t="shared" si="47"/>
        <v>0</v>
      </c>
      <c r="AO10" s="46">
        <f t="shared" si="47"/>
        <v>0</v>
      </c>
      <c r="AP10" s="46">
        <f t="shared" si="47"/>
        <v>0</v>
      </c>
      <c r="AQ10" s="46">
        <f t="shared" si="47"/>
        <v>0</v>
      </c>
      <c r="AR10" s="46">
        <f t="shared" si="47"/>
        <v>0</v>
      </c>
      <c r="AS10" s="46">
        <f t="shared" si="47"/>
        <v>0</v>
      </c>
      <c r="AT10" s="46">
        <f t="shared" si="47"/>
        <v>0</v>
      </c>
      <c r="AU10" s="46">
        <f t="shared" si="47"/>
        <v>0</v>
      </c>
      <c r="AV10" s="46">
        <f t="shared" si="47"/>
        <v>0</v>
      </c>
      <c r="AW10" s="46">
        <f t="shared" si="47"/>
        <v>0</v>
      </c>
      <c r="AX10" s="46">
        <f t="shared" si="47"/>
        <v>0</v>
      </c>
      <c r="AY10" s="46">
        <f t="shared" si="47"/>
        <v>0</v>
      </c>
      <c r="AZ10" s="46">
        <f t="shared" si="47"/>
        <v>0</v>
      </c>
      <c r="BA10" s="46">
        <f t="shared" si="47"/>
        <v>0</v>
      </c>
      <c r="BB10" s="46">
        <f t="shared" si="47"/>
        <v>0</v>
      </c>
      <c r="BC10" s="46">
        <f t="shared" si="47"/>
        <v>0</v>
      </c>
      <c r="BD10" s="46">
        <f t="shared" si="47"/>
        <v>0</v>
      </c>
      <c r="BE10" s="46">
        <f t="shared" si="47"/>
        <v>0</v>
      </c>
      <c r="BF10" s="46">
        <f t="shared" si="47"/>
        <v>0</v>
      </c>
      <c r="BG10" s="46">
        <f t="shared" si="47"/>
        <v>0</v>
      </c>
      <c r="BH10" s="46">
        <f t="shared" si="47"/>
        <v>0</v>
      </c>
      <c r="BI10" s="46">
        <f t="shared" si="47"/>
        <v>0</v>
      </c>
      <c r="BJ10" s="46">
        <f t="shared" si="47"/>
        <v>0</v>
      </c>
      <c r="BK10" s="46">
        <f t="shared" si="47"/>
        <v>0</v>
      </c>
      <c r="BL10" s="46">
        <f t="shared" si="47"/>
        <v>0</v>
      </c>
      <c r="BM10" s="46">
        <f t="shared" si="47"/>
        <v>0</v>
      </c>
      <c r="BN10" s="46">
        <f t="shared" si="47"/>
        <v>0</v>
      </c>
      <c r="BO10" s="46">
        <f t="shared" si="47"/>
        <v>0</v>
      </c>
      <c r="BP10" s="46">
        <f t="shared" si="47"/>
        <v>0</v>
      </c>
      <c r="BQ10" s="46">
        <f t="shared" si="47"/>
        <v>1000</v>
      </c>
      <c r="BR10" s="46">
        <f t="shared" si="47"/>
        <v>0</v>
      </c>
      <c r="BS10" s="46">
        <f t="shared" si="47"/>
        <v>1000</v>
      </c>
      <c r="BT10" s="46">
        <f t="shared" si="47"/>
        <v>0</v>
      </c>
      <c r="BU10" s="46">
        <f t="shared" si="47"/>
        <v>0</v>
      </c>
      <c r="BV10" s="46">
        <f t="shared" si="47"/>
        <v>1000</v>
      </c>
      <c r="BW10" s="46">
        <f t="shared" si="47"/>
        <v>1000</v>
      </c>
      <c r="BX10" s="51"/>
      <c r="BY10" s="51"/>
      <c r="BZ10" s="51"/>
      <c r="CA10" s="51"/>
      <c r="CB10" s="51"/>
      <c r="CC10" s="51"/>
      <c r="CD10" s="51"/>
      <c r="CE10" s="51"/>
      <c r="CF10" s="51"/>
      <c r="CG10" s="51"/>
    </row>
    <row r="11" spans="1:85" ht="15.75" customHeight="1">
      <c r="A11" s="79" t="s">
        <v>76</v>
      </c>
      <c r="B11" s="80"/>
      <c r="C11" s="81" t="s">
        <v>77</v>
      </c>
      <c r="D11" s="82" t="s">
        <v>78</v>
      </c>
      <c r="E11" s="57">
        <v>0</v>
      </c>
      <c r="F11" s="57">
        <v>0</v>
      </c>
      <c r="G11" s="58">
        <f>E11-F11</f>
        <v>0</v>
      </c>
      <c r="H11" s="57">
        <v>0</v>
      </c>
      <c r="I11" s="83">
        <f t="shared" si="12"/>
        <v>0</v>
      </c>
      <c r="J11" s="83">
        <f t="shared" si="13"/>
        <v>0</v>
      </c>
      <c r="K11" s="74">
        <v>1000</v>
      </c>
      <c r="L11" s="74">
        <v>0</v>
      </c>
      <c r="M11" s="74">
        <v>0</v>
      </c>
      <c r="N11" s="74">
        <v>0</v>
      </c>
      <c r="O11" s="63">
        <f t="shared" ref="O11:Q11" si="48">AA11+AD11+AG11+AJ11+AM11+AP11+AS11+AV11+AY11+BB11+BE11+BH11</f>
        <v>0</v>
      </c>
      <c r="P11" s="63">
        <f t="shared" si="48"/>
        <v>0</v>
      </c>
      <c r="Q11" s="63">
        <f t="shared" si="48"/>
        <v>0</v>
      </c>
      <c r="R11" s="63">
        <f t="shared" ref="R11:T11" si="49">IF(BK11=0,SUM(AA11+AD11+AG11+AJ11+AM11+AP11+AS11+AV11+AY11+BB11+BE11+BH11),BK11)</f>
        <v>0</v>
      </c>
      <c r="S11" s="63">
        <f t="shared" si="49"/>
        <v>0</v>
      </c>
      <c r="T11" s="63">
        <f t="shared" si="49"/>
        <v>0</v>
      </c>
      <c r="U11" s="62">
        <f>K11-O11</f>
        <v>1000</v>
      </c>
      <c r="V11" s="63">
        <f>L11-M11-S11</f>
        <v>0</v>
      </c>
      <c r="W11" s="63">
        <f>N11-Q11</f>
        <v>0</v>
      </c>
      <c r="X11" s="84">
        <f t="shared" ref="X11:Y11" si="50">IF(O11&gt;0,O11/K11,0)</f>
        <v>0</v>
      </c>
      <c r="Y11" s="84">
        <f t="shared" si="50"/>
        <v>0</v>
      </c>
      <c r="Z11" s="84">
        <f t="shared" si="5"/>
        <v>0</v>
      </c>
      <c r="AA11" s="60">
        <v>0</v>
      </c>
      <c r="AB11" s="85"/>
      <c r="AC11" s="85"/>
      <c r="AD11" s="85"/>
      <c r="AE11" s="86"/>
      <c r="AF11" s="86"/>
      <c r="AG11" s="87">
        <v>0</v>
      </c>
      <c r="AH11" s="86"/>
      <c r="AI11" s="85"/>
      <c r="AJ11" s="60">
        <v>0</v>
      </c>
      <c r="AK11" s="85"/>
      <c r="AL11" s="85"/>
      <c r="AM11" s="60">
        <v>0</v>
      </c>
      <c r="AN11" s="85"/>
      <c r="AO11" s="85"/>
      <c r="AP11" s="60">
        <v>0</v>
      </c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65">
        <v>0</v>
      </c>
      <c r="BL11" s="65">
        <v>0</v>
      </c>
      <c r="BM11" s="65">
        <v>0</v>
      </c>
      <c r="BN11" s="65">
        <f>IF(O11-BK11&gt;0,O11-BK11,0)</f>
        <v>0</v>
      </c>
      <c r="BO11" s="67">
        <f>IF(Q11-BM11&gt;0,Q11-BM11,0)</f>
        <v>0</v>
      </c>
      <c r="BP11" s="65">
        <f>IF(BN11+BO11&gt;0,BN11+BO11,0)</f>
        <v>0</v>
      </c>
      <c r="BQ11" s="65">
        <f>IF(U11=0,0,U11)</f>
        <v>1000</v>
      </c>
      <c r="BR11" s="65">
        <f>IF(W11=0,0,W11)</f>
        <v>0</v>
      </c>
      <c r="BS11" s="65">
        <f>IF(BQ11+BR11&gt;0,BQ11+BR11,0)</f>
        <v>1000</v>
      </c>
      <c r="BT11" s="65">
        <f>IF(V11&gt;0,V11,0)</f>
        <v>0</v>
      </c>
      <c r="BU11" s="65">
        <f>IF(BP11=0,0,BP11)</f>
        <v>0</v>
      </c>
      <c r="BV11" s="65">
        <f>IF(BS11=0,0,BS11)</f>
        <v>1000</v>
      </c>
      <c r="BW11" s="65">
        <f>IF(BP11+BT11+BV11&gt;0,BP11+BT11+BV11,0)</f>
        <v>1000</v>
      </c>
      <c r="BX11" s="88"/>
      <c r="BY11" s="88"/>
      <c r="BZ11" s="88"/>
      <c r="CA11" s="88"/>
      <c r="CB11" s="88"/>
      <c r="CC11" s="88"/>
      <c r="CD11" s="88"/>
      <c r="CE11" s="88"/>
      <c r="CF11" s="88"/>
      <c r="CG11" s="88"/>
    </row>
    <row r="12" spans="1:85" ht="15.75" customHeight="1">
      <c r="A12" s="34"/>
      <c r="B12" s="35"/>
      <c r="C12" s="36"/>
      <c r="D12" s="37" t="s">
        <v>79</v>
      </c>
      <c r="E12" s="38">
        <f t="shared" ref="E12:H12" si="51">E13</f>
        <v>0</v>
      </c>
      <c r="F12" s="38">
        <f t="shared" si="51"/>
        <v>0</v>
      </c>
      <c r="G12" s="38">
        <f t="shared" si="51"/>
        <v>0</v>
      </c>
      <c r="H12" s="38">
        <f t="shared" si="51"/>
        <v>15000</v>
      </c>
      <c r="I12" s="39">
        <f t="shared" si="12"/>
        <v>0</v>
      </c>
      <c r="J12" s="39">
        <f t="shared" si="13"/>
        <v>0</v>
      </c>
      <c r="K12" s="38">
        <f t="shared" ref="K12:W12" si="52">K13</f>
        <v>0</v>
      </c>
      <c r="L12" s="38">
        <f t="shared" si="52"/>
        <v>0</v>
      </c>
      <c r="M12" s="38">
        <f t="shared" si="52"/>
        <v>0</v>
      </c>
      <c r="N12" s="38">
        <f t="shared" si="52"/>
        <v>0</v>
      </c>
      <c r="O12" s="38">
        <f t="shared" si="52"/>
        <v>0</v>
      </c>
      <c r="P12" s="38">
        <f t="shared" si="52"/>
        <v>0</v>
      </c>
      <c r="Q12" s="38">
        <f t="shared" si="52"/>
        <v>0</v>
      </c>
      <c r="R12" s="38">
        <f t="shared" si="52"/>
        <v>0</v>
      </c>
      <c r="S12" s="38">
        <f t="shared" si="52"/>
        <v>0</v>
      </c>
      <c r="T12" s="38">
        <f t="shared" si="52"/>
        <v>0</v>
      </c>
      <c r="U12" s="38">
        <f t="shared" si="52"/>
        <v>0</v>
      </c>
      <c r="V12" s="38">
        <f t="shared" si="52"/>
        <v>0</v>
      </c>
      <c r="W12" s="38">
        <f t="shared" si="52"/>
        <v>0</v>
      </c>
      <c r="X12" s="40">
        <f t="shared" ref="X12:Y12" si="53">IF(O12&gt;0,O12/K12,0)</f>
        <v>0</v>
      </c>
      <c r="Y12" s="40">
        <f t="shared" si="53"/>
        <v>0</v>
      </c>
      <c r="Z12" s="40">
        <f t="shared" si="5"/>
        <v>0</v>
      </c>
      <c r="AA12" s="38">
        <f t="shared" ref="AA12:BW12" si="54">AA13</f>
        <v>0</v>
      </c>
      <c r="AB12" s="38">
        <f t="shared" si="54"/>
        <v>0</v>
      </c>
      <c r="AC12" s="38">
        <f t="shared" si="54"/>
        <v>0</v>
      </c>
      <c r="AD12" s="38">
        <f t="shared" si="54"/>
        <v>0</v>
      </c>
      <c r="AE12" s="38">
        <f t="shared" si="54"/>
        <v>0</v>
      </c>
      <c r="AF12" s="38">
        <f t="shared" si="54"/>
        <v>0</v>
      </c>
      <c r="AG12" s="38">
        <f t="shared" si="54"/>
        <v>0</v>
      </c>
      <c r="AH12" s="38">
        <f t="shared" si="54"/>
        <v>0</v>
      </c>
      <c r="AI12" s="38">
        <f t="shared" si="54"/>
        <v>0</v>
      </c>
      <c r="AJ12" s="38">
        <f t="shared" si="54"/>
        <v>0</v>
      </c>
      <c r="AK12" s="38">
        <f t="shared" si="54"/>
        <v>0</v>
      </c>
      <c r="AL12" s="38">
        <f t="shared" si="54"/>
        <v>0</v>
      </c>
      <c r="AM12" s="38">
        <f t="shared" si="54"/>
        <v>0</v>
      </c>
      <c r="AN12" s="38">
        <f t="shared" si="54"/>
        <v>0</v>
      </c>
      <c r="AO12" s="38">
        <f t="shared" si="54"/>
        <v>0</v>
      </c>
      <c r="AP12" s="38">
        <f t="shared" si="54"/>
        <v>0</v>
      </c>
      <c r="AQ12" s="38">
        <f t="shared" si="54"/>
        <v>0</v>
      </c>
      <c r="AR12" s="38">
        <f t="shared" si="54"/>
        <v>0</v>
      </c>
      <c r="AS12" s="38">
        <f t="shared" si="54"/>
        <v>0</v>
      </c>
      <c r="AT12" s="38">
        <f t="shared" si="54"/>
        <v>0</v>
      </c>
      <c r="AU12" s="38">
        <f t="shared" si="54"/>
        <v>0</v>
      </c>
      <c r="AV12" s="38">
        <f t="shared" si="54"/>
        <v>0</v>
      </c>
      <c r="AW12" s="38">
        <f t="shared" si="54"/>
        <v>0</v>
      </c>
      <c r="AX12" s="38">
        <f t="shared" si="54"/>
        <v>0</v>
      </c>
      <c r="AY12" s="38">
        <f t="shared" si="54"/>
        <v>0</v>
      </c>
      <c r="AZ12" s="38">
        <f t="shared" si="54"/>
        <v>0</v>
      </c>
      <c r="BA12" s="38">
        <f t="shared" si="54"/>
        <v>0</v>
      </c>
      <c r="BB12" s="38">
        <f t="shared" si="54"/>
        <v>0</v>
      </c>
      <c r="BC12" s="38">
        <f t="shared" si="54"/>
        <v>0</v>
      </c>
      <c r="BD12" s="38">
        <f t="shared" si="54"/>
        <v>0</v>
      </c>
      <c r="BE12" s="38">
        <f t="shared" si="54"/>
        <v>0</v>
      </c>
      <c r="BF12" s="38">
        <f t="shared" si="54"/>
        <v>0</v>
      </c>
      <c r="BG12" s="38">
        <f t="shared" si="54"/>
        <v>0</v>
      </c>
      <c r="BH12" s="38">
        <f t="shared" si="54"/>
        <v>0</v>
      </c>
      <c r="BI12" s="38">
        <f t="shared" si="54"/>
        <v>0</v>
      </c>
      <c r="BJ12" s="38">
        <f t="shared" si="54"/>
        <v>0</v>
      </c>
      <c r="BK12" s="38">
        <f t="shared" si="54"/>
        <v>0</v>
      </c>
      <c r="BL12" s="38">
        <f t="shared" si="54"/>
        <v>0</v>
      </c>
      <c r="BM12" s="38">
        <f t="shared" si="54"/>
        <v>0</v>
      </c>
      <c r="BN12" s="38">
        <f t="shared" si="54"/>
        <v>0</v>
      </c>
      <c r="BO12" s="38">
        <f t="shared" si="54"/>
        <v>0</v>
      </c>
      <c r="BP12" s="38">
        <f t="shared" si="54"/>
        <v>0</v>
      </c>
      <c r="BQ12" s="38">
        <f t="shared" si="54"/>
        <v>0</v>
      </c>
      <c r="BR12" s="38">
        <f t="shared" si="54"/>
        <v>0</v>
      </c>
      <c r="BS12" s="38">
        <f t="shared" si="54"/>
        <v>0</v>
      </c>
      <c r="BT12" s="38">
        <f t="shared" si="54"/>
        <v>0</v>
      </c>
      <c r="BU12" s="38">
        <f t="shared" si="54"/>
        <v>0</v>
      </c>
      <c r="BV12" s="38">
        <f t="shared" si="54"/>
        <v>0</v>
      </c>
      <c r="BW12" s="38">
        <f t="shared" si="54"/>
        <v>0</v>
      </c>
      <c r="BX12" s="6"/>
      <c r="BY12" s="6"/>
      <c r="BZ12" s="6"/>
      <c r="CA12" s="6"/>
      <c r="CB12" s="6"/>
      <c r="CC12" s="6"/>
      <c r="CD12" s="6"/>
      <c r="CE12" s="6"/>
      <c r="CF12" s="6"/>
      <c r="CG12" s="6"/>
    </row>
    <row r="13" spans="1:85" ht="15.75">
      <c r="A13" s="41"/>
      <c r="B13" s="42"/>
      <c r="C13" s="43"/>
      <c r="D13" s="44" t="s">
        <v>67</v>
      </c>
      <c r="E13" s="45">
        <f t="shared" ref="E13:H13" si="55">SUM(E14:E15)</f>
        <v>0</v>
      </c>
      <c r="F13" s="46">
        <f t="shared" si="55"/>
        <v>0</v>
      </c>
      <c r="G13" s="46">
        <f t="shared" si="55"/>
        <v>0</v>
      </c>
      <c r="H13" s="46">
        <f t="shared" si="55"/>
        <v>15000</v>
      </c>
      <c r="I13" s="47">
        <f t="shared" si="12"/>
        <v>0</v>
      </c>
      <c r="J13" s="47">
        <f t="shared" si="13"/>
        <v>0</v>
      </c>
      <c r="K13" s="48">
        <f t="shared" ref="K13:W13" si="56">SUM(K14:K15)</f>
        <v>0</v>
      </c>
      <c r="L13" s="49">
        <f t="shared" si="56"/>
        <v>0</v>
      </c>
      <c r="M13" s="49">
        <f t="shared" si="56"/>
        <v>0</v>
      </c>
      <c r="N13" s="48">
        <f t="shared" si="56"/>
        <v>0</v>
      </c>
      <c r="O13" s="49">
        <f t="shared" si="56"/>
        <v>0</v>
      </c>
      <c r="P13" s="49">
        <f t="shared" si="56"/>
        <v>0</v>
      </c>
      <c r="Q13" s="49">
        <f t="shared" si="56"/>
        <v>0</v>
      </c>
      <c r="R13" s="49">
        <f t="shared" si="56"/>
        <v>0</v>
      </c>
      <c r="S13" s="49">
        <f t="shared" si="56"/>
        <v>0</v>
      </c>
      <c r="T13" s="49">
        <f t="shared" si="56"/>
        <v>0</v>
      </c>
      <c r="U13" s="48">
        <f t="shared" si="56"/>
        <v>0</v>
      </c>
      <c r="V13" s="48">
        <f t="shared" si="56"/>
        <v>0</v>
      </c>
      <c r="W13" s="48">
        <f t="shared" si="56"/>
        <v>0</v>
      </c>
      <c r="X13" s="50">
        <f t="shared" ref="X13:Y13" si="57">IF(O13&gt;0,O13/K13,0)</f>
        <v>0</v>
      </c>
      <c r="Y13" s="50">
        <f t="shared" si="57"/>
        <v>0</v>
      </c>
      <c r="Z13" s="50">
        <f t="shared" si="5"/>
        <v>0</v>
      </c>
      <c r="AA13" s="49">
        <f t="shared" ref="AA13:BW13" si="58">SUM(AA14:AA15)</f>
        <v>0</v>
      </c>
      <c r="AB13" s="49">
        <f t="shared" si="58"/>
        <v>0</v>
      </c>
      <c r="AC13" s="49">
        <f t="shared" si="58"/>
        <v>0</v>
      </c>
      <c r="AD13" s="49">
        <f t="shared" si="58"/>
        <v>0</v>
      </c>
      <c r="AE13" s="49">
        <f t="shared" si="58"/>
        <v>0</v>
      </c>
      <c r="AF13" s="49">
        <f t="shared" si="58"/>
        <v>0</v>
      </c>
      <c r="AG13" s="49">
        <f t="shared" si="58"/>
        <v>0</v>
      </c>
      <c r="AH13" s="49">
        <f t="shared" si="58"/>
        <v>0</v>
      </c>
      <c r="AI13" s="49">
        <f t="shared" si="58"/>
        <v>0</v>
      </c>
      <c r="AJ13" s="49">
        <f t="shared" si="58"/>
        <v>0</v>
      </c>
      <c r="AK13" s="49">
        <f t="shared" si="58"/>
        <v>0</v>
      </c>
      <c r="AL13" s="49">
        <f t="shared" si="58"/>
        <v>0</v>
      </c>
      <c r="AM13" s="49">
        <f t="shared" si="58"/>
        <v>0</v>
      </c>
      <c r="AN13" s="49">
        <f t="shared" si="58"/>
        <v>0</v>
      </c>
      <c r="AO13" s="49">
        <f t="shared" si="58"/>
        <v>0</v>
      </c>
      <c r="AP13" s="49">
        <f t="shared" si="58"/>
        <v>0</v>
      </c>
      <c r="AQ13" s="49">
        <f t="shared" si="58"/>
        <v>0</v>
      </c>
      <c r="AR13" s="49">
        <f t="shared" si="58"/>
        <v>0</v>
      </c>
      <c r="AS13" s="49">
        <f t="shared" si="58"/>
        <v>0</v>
      </c>
      <c r="AT13" s="49">
        <f t="shared" si="58"/>
        <v>0</v>
      </c>
      <c r="AU13" s="49">
        <f t="shared" si="58"/>
        <v>0</v>
      </c>
      <c r="AV13" s="49">
        <f t="shared" si="58"/>
        <v>0</v>
      </c>
      <c r="AW13" s="49">
        <f t="shared" si="58"/>
        <v>0</v>
      </c>
      <c r="AX13" s="49">
        <f t="shared" si="58"/>
        <v>0</v>
      </c>
      <c r="AY13" s="49">
        <f t="shared" si="58"/>
        <v>0</v>
      </c>
      <c r="AZ13" s="49">
        <f t="shared" si="58"/>
        <v>0</v>
      </c>
      <c r="BA13" s="49">
        <f t="shared" si="58"/>
        <v>0</v>
      </c>
      <c r="BB13" s="49">
        <f t="shared" si="58"/>
        <v>0</v>
      </c>
      <c r="BC13" s="49">
        <f t="shared" si="58"/>
        <v>0</v>
      </c>
      <c r="BD13" s="49">
        <f t="shared" si="58"/>
        <v>0</v>
      </c>
      <c r="BE13" s="49">
        <f t="shared" si="58"/>
        <v>0</v>
      </c>
      <c r="BF13" s="49">
        <f t="shared" si="58"/>
        <v>0</v>
      </c>
      <c r="BG13" s="49">
        <f t="shared" si="58"/>
        <v>0</v>
      </c>
      <c r="BH13" s="49">
        <f t="shared" si="58"/>
        <v>0</v>
      </c>
      <c r="BI13" s="49">
        <f t="shared" si="58"/>
        <v>0</v>
      </c>
      <c r="BJ13" s="49">
        <f t="shared" si="58"/>
        <v>0</v>
      </c>
      <c r="BK13" s="49">
        <f t="shared" si="58"/>
        <v>0</v>
      </c>
      <c r="BL13" s="49">
        <f t="shared" si="58"/>
        <v>0</v>
      </c>
      <c r="BM13" s="49">
        <f t="shared" si="58"/>
        <v>0</v>
      </c>
      <c r="BN13" s="49">
        <f t="shared" si="58"/>
        <v>0</v>
      </c>
      <c r="BO13" s="49">
        <f t="shared" si="58"/>
        <v>0</v>
      </c>
      <c r="BP13" s="49">
        <f t="shared" si="58"/>
        <v>0</v>
      </c>
      <c r="BQ13" s="49">
        <f t="shared" si="58"/>
        <v>0</v>
      </c>
      <c r="BR13" s="49">
        <f t="shared" si="58"/>
        <v>0</v>
      </c>
      <c r="BS13" s="49">
        <f t="shared" si="58"/>
        <v>0</v>
      </c>
      <c r="BT13" s="49">
        <f t="shared" si="58"/>
        <v>0</v>
      </c>
      <c r="BU13" s="49">
        <f t="shared" si="58"/>
        <v>0</v>
      </c>
      <c r="BV13" s="49">
        <f t="shared" si="58"/>
        <v>0</v>
      </c>
      <c r="BW13" s="49">
        <f t="shared" si="58"/>
        <v>0</v>
      </c>
      <c r="BX13" s="51"/>
      <c r="BY13" s="51"/>
      <c r="BZ13" s="51"/>
      <c r="CA13" s="51"/>
      <c r="CB13" s="51"/>
      <c r="CC13" s="51"/>
      <c r="CD13" s="51"/>
      <c r="CE13" s="51"/>
      <c r="CF13" s="51"/>
      <c r="CG13" s="51"/>
    </row>
    <row r="14" spans="1:85" ht="15.75">
      <c r="A14" s="89"/>
      <c r="B14" s="53"/>
      <c r="C14" s="54" t="s">
        <v>69</v>
      </c>
      <c r="D14" s="55" t="s">
        <v>70</v>
      </c>
      <c r="E14" s="57">
        <v>0</v>
      </c>
      <c r="F14" s="57">
        <v>0</v>
      </c>
      <c r="G14" s="58">
        <f t="shared" ref="G14:G15" si="59">E14-F14</f>
        <v>0</v>
      </c>
      <c r="H14" s="56">
        <v>5000</v>
      </c>
      <c r="I14" s="59">
        <f t="shared" si="12"/>
        <v>0</v>
      </c>
      <c r="J14" s="59">
        <f t="shared" si="13"/>
        <v>0</v>
      </c>
      <c r="K14" s="60">
        <v>0</v>
      </c>
      <c r="L14" s="60">
        <v>0</v>
      </c>
      <c r="M14" s="60">
        <v>0</v>
      </c>
      <c r="N14" s="60">
        <v>0</v>
      </c>
      <c r="O14" s="61">
        <f t="shared" ref="O14:Q14" si="60">AA14+AD14+AG14+AJ14+AM14+AP14+AS14+AV14+AY14+BB14+BE14+BH14</f>
        <v>0</v>
      </c>
      <c r="P14" s="61">
        <f t="shared" si="60"/>
        <v>0</v>
      </c>
      <c r="Q14" s="61">
        <f t="shared" si="60"/>
        <v>0</v>
      </c>
      <c r="R14" s="61">
        <f t="shared" ref="R14:T14" si="61">IF(BK14=0,SUM(AA14+AD14+AG14+AJ14+AM14+AP14+AS14+AV14+AY14+BB14+BE14+BH14),BK14)</f>
        <v>0</v>
      </c>
      <c r="S14" s="61">
        <f t="shared" si="61"/>
        <v>0</v>
      </c>
      <c r="T14" s="61">
        <f t="shared" si="61"/>
        <v>0</v>
      </c>
      <c r="U14" s="63">
        <f t="shared" ref="U14:U15" si="62">K14-O14</f>
        <v>0</v>
      </c>
      <c r="V14" s="63">
        <f t="shared" ref="V14:V15" si="63">L14-M14-S14</f>
        <v>0</v>
      </c>
      <c r="W14" s="63">
        <f t="shared" ref="W14:W15" si="64">N14-Q14</f>
        <v>0</v>
      </c>
      <c r="X14" s="64">
        <f t="shared" ref="X14:Y14" si="65">IF(O14&gt;0,O14/K14,0)</f>
        <v>0</v>
      </c>
      <c r="Y14" s="64">
        <f t="shared" si="65"/>
        <v>0</v>
      </c>
      <c r="Z14" s="64">
        <f t="shared" si="5"/>
        <v>0</v>
      </c>
      <c r="AA14" s="65"/>
      <c r="AB14" s="65"/>
      <c r="AC14" s="65"/>
      <c r="AD14" s="65"/>
      <c r="AE14" s="66"/>
      <c r="AF14" s="66"/>
      <c r="AG14" s="66"/>
      <c r="AH14" s="66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>
        <v>0</v>
      </c>
      <c r="BL14" s="65">
        <v>0</v>
      </c>
      <c r="BM14" s="65">
        <v>0</v>
      </c>
      <c r="BN14" s="65">
        <f t="shared" ref="BN14:BN15" si="66">IF(O14-BK14&gt;0,O14-BK14,0)</f>
        <v>0</v>
      </c>
      <c r="BO14" s="67">
        <f t="shared" ref="BO14:BO15" si="67">IF(Q14-BM14&gt;0,Q14-BM14,0)</f>
        <v>0</v>
      </c>
      <c r="BP14" s="65">
        <f t="shared" ref="BP14:BP15" si="68">IF(BN14+BO14&gt;0,BN14+BO14,0)</f>
        <v>0</v>
      </c>
      <c r="BQ14" s="65">
        <f t="shared" ref="BQ14:BQ15" si="69">IF(U14=0,0,U14)</f>
        <v>0</v>
      </c>
      <c r="BR14" s="65">
        <f t="shared" ref="BR14:BR15" si="70">IF(W14=0,0,W14)</f>
        <v>0</v>
      </c>
      <c r="BS14" s="65">
        <f t="shared" ref="BS14:BS15" si="71">IF(BQ14+BR14&gt;0,BQ14+BR14,0)</f>
        <v>0</v>
      </c>
      <c r="BT14" s="65">
        <f t="shared" ref="BT14:BT15" si="72">IF(V14&gt;0,V14,0)</f>
        <v>0</v>
      </c>
      <c r="BU14" s="65">
        <f t="shared" ref="BU14:BU15" si="73">IF(BP14=0,0,BP14)</f>
        <v>0</v>
      </c>
      <c r="BV14" s="65">
        <f t="shared" ref="BV14:BV15" si="74">IF(BS14=0,0,BS14)</f>
        <v>0</v>
      </c>
      <c r="BW14" s="65">
        <f t="shared" ref="BW14:BW15" si="75">IF(BP14+BT14+BV14&gt;0,BP14+BT14+BV14,0)</f>
        <v>0</v>
      </c>
      <c r="BX14" s="6"/>
      <c r="BY14" s="6"/>
      <c r="BZ14" s="6"/>
      <c r="CA14" s="6"/>
      <c r="CB14" s="6"/>
      <c r="CC14" s="6"/>
      <c r="CD14" s="6"/>
      <c r="CE14" s="6"/>
      <c r="CF14" s="6"/>
      <c r="CG14" s="6"/>
    </row>
    <row r="15" spans="1:85" ht="15.75">
      <c r="A15" s="68"/>
      <c r="B15" s="69"/>
      <c r="C15" s="68" t="s">
        <v>71</v>
      </c>
      <c r="D15" s="70" t="s">
        <v>72</v>
      </c>
      <c r="E15" s="57">
        <v>0</v>
      </c>
      <c r="F15" s="57">
        <v>0</v>
      </c>
      <c r="G15" s="58">
        <f t="shared" si="59"/>
        <v>0</v>
      </c>
      <c r="H15" s="56">
        <v>10000</v>
      </c>
      <c r="I15" s="59">
        <f t="shared" si="12"/>
        <v>0</v>
      </c>
      <c r="J15" s="59">
        <f t="shared" si="13"/>
        <v>0</v>
      </c>
      <c r="K15" s="60">
        <v>0</v>
      </c>
      <c r="L15" s="60">
        <v>0</v>
      </c>
      <c r="M15" s="60">
        <v>0</v>
      </c>
      <c r="N15" s="60">
        <v>0</v>
      </c>
      <c r="O15" s="61">
        <f t="shared" ref="O15:Q15" si="76">AA15+AD15+AG15+AJ15+AM15+AP15+AS15+AV15+AY15+BB15+BE15+BH15</f>
        <v>0</v>
      </c>
      <c r="P15" s="61">
        <f t="shared" si="76"/>
        <v>0</v>
      </c>
      <c r="Q15" s="61">
        <f t="shared" si="76"/>
        <v>0</v>
      </c>
      <c r="R15" s="61">
        <f t="shared" ref="R15:T15" si="77">IF(BK15=0,SUM(AA15+AD15+AG15+AJ15+AM15+AP15+AS15+AV15+AY15+BB15+BE15+BH15),BK15)</f>
        <v>0</v>
      </c>
      <c r="S15" s="61">
        <f t="shared" si="77"/>
        <v>0</v>
      </c>
      <c r="T15" s="61">
        <f t="shared" si="77"/>
        <v>0</v>
      </c>
      <c r="U15" s="63">
        <f t="shared" si="62"/>
        <v>0</v>
      </c>
      <c r="V15" s="63">
        <f t="shared" si="63"/>
        <v>0</v>
      </c>
      <c r="W15" s="63">
        <f t="shared" si="64"/>
        <v>0</v>
      </c>
      <c r="X15" s="64">
        <f t="shared" ref="X15:Y15" si="78">IF(O15&gt;0,O15/K15,0)</f>
        <v>0</v>
      </c>
      <c r="Y15" s="64">
        <f t="shared" si="78"/>
        <v>0</v>
      </c>
      <c r="Z15" s="64">
        <f t="shared" si="5"/>
        <v>0</v>
      </c>
      <c r="AA15" s="65"/>
      <c r="AB15" s="65"/>
      <c r="AC15" s="65"/>
      <c r="AD15" s="65"/>
      <c r="AE15" s="66"/>
      <c r="AF15" s="66"/>
      <c r="AG15" s="66"/>
      <c r="AH15" s="66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  <c r="BG15" s="65"/>
      <c r="BH15" s="65"/>
      <c r="BI15" s="65"/>
      <c r="BJ15" s="65"/>
      <c r="BK15" s="65">
        <v>0</v>
      </c>
      <c r="BL15" s="65">
        <v>0</v>
      </c>
      <c r="BM15" s="65">
        <v>0</v>
      </c>
      <c r="BN15" s="65">
        <f t="shared" si="66"/>
        <v>0</v>
      </c>
      <c r="BO15" s="67">
        <f t="shared" si="67"/>
        <v>0</v>
      </c>
      <c r="BP15" s="65">
        <f t="shared" si="68"/>
        <v>0</v>
      </c>
      <c r="BQ15" s="65">
        <f t="shared" si="69"/>
        <v>0</v>
      </c>
      <c r="BR15" s="65">
        <f t="shared" si="70"/>
        <v>0</v>
      </c>
      <c r="BS15" s="65">
        <f t="shared" si="71"/>
        <v>0</v>
      </c>
      <c r="BT15" s="65">
        <f t="shared" si="72"/>
        <v>0</v>
      </c>
      <c r="BU15" s="65">
        <f t="shared" si="73"/>
        <v>0</v>
      </c>
      <c r="BV15" s="65">
        <f t="shared" si="74"/>
        <v>0</v>
      </c>
      <c r="BW15" s="65">
        <f t="shared" si="75"/>
        <v>0</v>
      </c>
      <c r="BX15" s="6"/>
      <c r="BY15" s="6"/>
      <c r="BZ15" s="6"/>
      <c r="CA15" s="6"/>
      <c r="CB15" s="6"/>
      <c r="CC15" s="6"/>
      <c r="CD15" s="6"/>
      <c r="CE15" s="6"/>
      <c r="CF15" s="6"/>
      <c r="CG15" s="6"/>
    </row>
    <row r="16" spans="1:85" ht="15.75">
      <c r="A16" s="90" t="s">
        <v>80</v>
      </c>
      <c r="B16" s="91" t="s">
        <v>81</v>
      </c>
      <c r="C16" s="92"/>
      <c r="D16" s="93"/>
      <c r="E16" s="31">
        <f t="shared" ref="E16:H16" si="79">E17+E112</f>
        <v>2516834.44</v>
      </c>
      <c r="F16" s="31">
        <f t="shared" si="79"/>
        <v>0</v>
      </c>
      <c r="G16" s="31">
        <f t="shared" si="79"/>
        <v>2516834.44</v>
      </c>
      <c r="H16" s="31">
        <f t="shared" si="79"/>
        <v>6843000</v>
      </c>
      <c r="I16" s="94">
        <f>K16/G16</f>
        <v>0.94055405964645022</v>
      </c>
      <c r="J16" s="94">
        <f>O16/G16</f>
        <v>0.39802095206548427</v>
      </c>
      <c r="K16" s="33">
        <f t="shared" ref="K16:W16" si="80">K17+K112</f>
        <v>2367218.85</v>
      </c>
      <c r="L16" s="33">
        <f t="shared" si="80"/>
        <v>401571.04</v>
      </c>
      <c r="M16" s="33">
        <f t="shared" si="80"/>
        <v>0</v>
      </c>
      <c r="N16" s="33">
        <f t="shared" si="80"/>
        <v>1349</v>
      </c>
      <c r="O16" s="33">
        <f t="shared" si="80"/>
        <v>1001752.8399999999</v>
      </c>
      <c r="P16" s="33">
        <f t="shared" si="80"/>
        <v>279544.12</v>
      </c>
      <c r="Q16" s="33">
        <f t="shared" si="80"/>
        <v>0</v>
      </c>
      <c r="R16" s="33">
        <f t="shared" si="80"/>
        <v>1001752.8399999999</v>
      </c>
      <c r="S16" s="33">
        <f t="shared" si="80"/>
        <v>279544.12</v>
      </c>
      <c r="T16" s="33">
        <f t="shared" si="80"/>
        <v>0</v>
      </c>
      <c r="U16" s="33">
        <f t="shared" si="80"/>
        <v>1365466.0099999995</v>
      </c>
      <c r="V16" s="33">
        <f t="shared" si="80"/>
        <v>122026.92000000001</v>
      </c>
      <c r="W16" s="33">
        <f t="shared" si="80"/>
        <v>1349</v>
      </c>
      <c r="X16" s="32">
        <f t="shared" ref="X16:Y16" si="81">IF(O16&gt;0,O16/K16,0)</f>
        <v>0.4231771135144517</v>
      </c>
      <c r="Y16" s="32">
        <f t="shared" si="81"/>
        <v>0.69612619475747062</v>
      </c>
      <c r="Z16" s="32">
        <f t="shared" si="5"/>
        <v>0</v>
      </c>
      <c r="AA16" s="33">
        <f t="shared" ref="AA16:BW16" si="82">AA17+AA112</f>
        <v>91972.510000000009</v>
      </c>
      <c r="AB16" s="33">
        <f t="shared" si="82"/>
        <v>44230.11</v>
      </c>
      <c r="AC16" s="33">
        <f t="shared" si="82"/>
        <v>0</v>
      </c>
      <c r="AD16" s="33">
        <f t="shared" si="82"/>
        <v>114085.14</v>
      </c>
      <c r="AE16" s="33">
        <f t="shared" si="82"/>
        <v>44296.720000000008</v>
      </c>
      <c r="AF16" s="33">
        <f t="shared" si="82"/>
        <v>0</v>
      </c>
      <c r="AG16" s="33">
        <f t="shared" si="82"/>
        <v>217378.13</v>
      </c>
      <c r="AH16" s="33">
        <f t="shared" si="82"/>
        <v>4245.66</v>
      </c>
      <c r="AI16" s="33">
        <f t="shared" si="82"/>
        <v>0</v>
      </c>
      <c r="AJ16" s="33">
        <f t="shared" si="82"/>
        <v>187740.19</v>
      </c>
      <c r="AK16" s="33">
        <f t="shared" si="82"/>
        <v>14008.14</v>
      </c>
      <c r="AL16" s="33">
        <f t="shared" si="82"/>
        <v>0</v>
      </c>
      <c r="AM16" s="33">
        <f t="shared" si="82"/>
        <v>214286.22999999998</v>
      </c>
      <c r="AN16" s="33">
        <f t="shared" si="82"/>
        <v>98344.819999999992</v>
      </c>
      <c r="AO16" s="33">
        <f t="shared" si="82"/>
        <v>0</v>
      </c>
      <c r="AP16" s="33">
        <f t="shared" si="82"/>
        <v>176290.64000000004</v>
      </c>
      <c r="AQ16" s="33">
        <f t="shared" si="82"/>
        <v>74418.669999999984</v>
      </c>
      <c r="AR16" s="33">
        <f t="shared" si="82"/>
        <v>0</v>
      </c>
      <c r="AS16" s="33">
        <f t="shared" si="82"/>
        <v>0</v>
      </c>
      <c r="AT16" s="33">
        <f t="shared" si="82"/>
        <v>0</v>
      </c>
      <c r="AU16" s="33">
        <f t="shared" si="82"/>
        <v>0</v>
      </c>
      <c r="AV16" s="33">
        <f t="shared" si="82"/>
        <v>0</v>
      </c>
      <c r="AW16" s="33">
        <f t="shared" si="82"/>
        <v>0</v>
      </c>
      <c r="AX16" s="33">
        <f t="shared" si="82"/>
        <v>0</v>
      </c>
      <c r="AY16" s="33">
        <f t="shared" si="82"/>
        <v>0</v>
      </c>
      <c r="AZ16" s="33">
        <f t="shared" si="82"/>
        <v>0</v>
      </c>
      <c r="BA16" s="33">
        <f t="shared" si="82"/>
        <v>0</v>
      </c>
      <c r="BB16" s="33">
        <f t="shared" si="82"/>
        <v>0</v>
      </c>
      <c r="BC16" s="33">
        <f t="shared" si="82"/>
        <v>0</v>
      </c>
      <c r="BD16" s="33">
        <f t="shared" si="82"/>
        <v>0</v>
      </c>
      <c r="BE16" s="33">
        <f t="shared" si="82"/>
        <v>0</v>
      </c>
      <c r="BF16" s="33">
        <f t="shared" si="82"/>
        <v>0</v>
      </c>
      <c r="BG16" s="33">
        <f t="shared" si="82"/>
        <v>0</v>
      </c>
      <c r="BH16" s="33">
        <f t="shared" si="82"/>
        <v>0</v>
      </c>
      <c r="BI16" s="33">
        <f t="shared" si="82"/>
        <v>0</v>
      </c>
      <c r="BJ16" s="33">
        <f t="shared" si="82"/>
        <v>0</v>
      </c>
      <c r="BK16" s="33">
        <f t="shared" si="82"/>
        <v>0</v>
      </c>
      <c r="BL16" s="33">
        <f t="shared" si="82"/>
        <v>0</v>
      </c>
      <c r="BM16" s="33">
        <f t="shared" si="82"/>
        <v>0</v>
      </c>
      <c r="BN16" s="33">
        <f t="shared" si="82"/>
        <v>1001732.8799999999</v>
      </c>
      <c r="BO16" s="33">
        <f t="shared" si="82"/>
        <v>0</v>
      </c>
      <c r="BP16" s="33">
        <f t="shared" si="82"/>
        <v>1001732.8799999999</v>
      </c>
      <c r="BQ16" s="33">
        <f t="shared" si="82"/>
        <v>1365420.6199999996</v>
      </c>
      <c r="BR16" s="33">
        <f t="shared" si="82"/>
        <v>1349</v>
      </c>
      <c r="BS16" s="33">
        <f t="shared" si="82"/>
        <v>1366769.6199999996</v>
      </c>
      <c r="BT16" s="33">
        <f t="shared" si="82"/>
        <v>122026.92000000001</v>
      </c>
      <c r="BU16" s="33">
        <f t="shared" si="82"/>
        <v>1001732.8799999999</v>
      </c>
      <c r="BV16" s="33">
        <f t="shared" si="82"/>
        <v>1366769.6199999996</v>
      </c>
      <c r="BW16" s="33">
        <f t="shared" si="82"/>
        <v>2490529.4199999995</v>
      </c>
      <c r="BX16" s="6"/>
      <c r="BY16" s="6"/>
      <c r="BZ16" s="6"/>
      <c r="CA16" s="6"/>
      <c r="CB16" s="6"/>
      <c r="CC16" s="6"/>
      <c r="CD16" s="6"/>
      <c r="CE16" s="6"/>
      <c r="CF16" s="6"/>
      <c r="CG16" s="6"/>
    </row>
    <row r="17" spans="1:85" ht="15.75" customHeight="1">
      <c r="A17" s="34"/>
      <c r="B17" s="35"/>
      <c r="C17" s="36"/>
      <c r="D17" s="37" t="s">
        <v>66</v>
      </c>
      <c r="E17" s="38">
        <f t="shared" ref="E17:H17" si="83">E18+E21+E46+E59+E86+E91+E97+E103+E105+E107</f>
        <v>2516834.44</v>
      </c>
      <c r="F17" s="38">
        <f t="shared" si="83"/>
        <v>0</v>
      </c>
      <c r="G17" s="38">
        <f t="shared" si="83"/>
        <v>2516834.44</v>
      </c>
      <c r="H17" s="38">
        <f t="shared" si="83"/>
        <v>0</v>
      </c>
      <c r="I17" s="39">
        <f t="shared" ref="I17:I50" si="84">IF(G17&gt;0,K17/G17,0)</f>
        <v>0.94055405964645022</v>
      </c>
      <c r="J17" s="39">
        <f t="shared" ref="J17:J50" si="85">IF(G17&gt;0,O17/G17,0)</f>
        <v>0.39802095206548427</v>
      </c>
      <c r="K17" s="38">
        <f t="shared" ref="K17:W17" si="86">K18+K21+K46+K59+K86+K91+K97+K103+K105+K107</f>
        <v>2367218.85</v>
      </c>
      <c r="L17" s="38">
        <f t="shared" si="86"/>
        <v>267265.57999999996</v>
      </c>
      <c r="M17" s="38">
        <f t="shared" si="86"/>
        <v>0</v>
      </c>
      <c r="N17" s="38">
        <f t="shared" si="86"/>
        <v>0</v>
      </c>
      <c r="O17" s="38">
        <f t="shared" si="86"/>
        <v>1001752.8399999999</v>
      </c>
      <c r="P17" s="38">
        <f t="shared" si="86"/>
        <v>236739.84999999998</v>
      </c>
      <c r="Q17" s="38">
        <f t="shared" si="86"/>
        <v>0</v>
      </c>
      <c r="R17" s="38">
        <f t="shared" si="86"/>
        <v>1001752.8399999999</v>
      </c>
      <c r="S17" s="38">
        <f t="shared" si="86"/>
        <v>236739.84999999998</v>
      </c>
      <c r="T17" s="38">
        <f t="shared" si="86"/>
        <v>0</v>
      </c>
      <c r="U17" s="38">
        <f t="shared" si="86"/>
        <v>1365466.0099999995</v>
      </c>
      <c r="V17" s="38">
        <f t="shared" si="86"/>
        <v>30525.730000000003</v>
      </c>
      <c r="W17" s="38">
        <f t="shared" si="86"/>
        <v>0</v>
      </c>
      <c r="X17" s="40">
        <f t="shared" ref="X17:Y17" si="87">IF(O17&gt;0,O17/K17,0)</f>
        <v>0.4231771135144517</v>
      </c>
      <c r="Y17" s="40">
        <f t="shared" si="87"/>
        <v>0.88578503075480208</v>
      </c>
      <c r="Z17" s="40">
        <f t="shared" si="5"/>
        <v>0</v>
      </c>
      <c r="AA17" s="38">
        <f t="shared" ref="AA17:BW17" si="88">AA18+AA21+AA46+AA59+AA86+AA91+AA97+AA103+AA105+AA107</f>
        <v>91972.510000000009</v>
      </c>
      <c r="AB17" s="38">
        <f t="shared" si="88"/>
        <v>18525.019999999997</v>
      </c>
      <c r="AC17" s="38">
        <f t="shared" si="88"/>
        <v>0</v>
      </c>
      <c r="AD17" s="38">
        <f t="shared" si="88"/>
        <v>114085.14</v>
      </c>
      <c r="AE17" s="38">
        <f t="shared" si="88"/>
        <v>35836.210000000006</v>
      </c>
      <c r="AF17" s="38">
        <f t="shared" si="88"/>
        <v>0</v>
      </c>
      <c r="AG17" s="38">
        <f t="shared" si="88"/>
        <v>217378.13</v>
      </c>
      <c r="AH17" s="38">
        <f t="shared" si="88"/>
        <v>4245.66</v>
      </c>
      <c r="AI17" s="38">
        <f t="shared" si="88"/>
        <v>0</v>
      </c>
      <c r="AJ17" s="38">
        <f t="shared" si="88"/>
        <v>187740.19</v>
      </c>
      <c r="AK17" s="38">
        <f t="shared" si="88"/>
        <v>14008.14</v>
      </c>
      <c r="AL17" s="38">
        <f t="shared" si="88"/>
        <v>0</v>
      </c>
      <c r="AM17" s="38">
        <f t="shared" si="88"/>
        <v>214286.22999999998</v>
      </c>
      <c r="AN17" s="38">
        <f t="shared" si="88"/>
        <v>89706.15</v>
      </c>
      <c r="AO17" s="38">
        <f t="shared" si="88"/>
        <v>0</v>
      </c>
      <c r="AP17" s="38">
        <f t="shared" si="88"/>
        <v>176290.64000000004</v>
      </c>
      <c r="AQ17" s="38">
        <f t="shared" si="88"/>
        <v>74418.669999999984</v>
      </c>
      <c r="AR17" s="38">
        <f t="shared" si="88"/>
        <v>0</v>
      </c>
      <c r="AS17" s="38">
        <f t="shared" si="88"/>
        <v>0</v>
      </c>
      <c r="AT17" s="38">
        <f t="shared" si="88"/>
        <v>0</v>
      </c>
      <c r="AU17" s="38">
        <f t="shared" si="88"/>
        <v>0</v>
      </c>
      <c r="AV17" s="38">
        <f t="shared" si="88"/>
        <v>0</v>
      </c>
      <c r="AW17" s="38">
        <f t="shared" si="88"/>
        <v>0</v>
      </c>
      <c r="AX17" s="38">
        <f t="shared" si="88"/>
        <v>0</v>
      </c>
      <c r="AY17" s="38">
        <f t="shared" si="88"/>
        <v>0</v>
      </c>
      <c r="AZ17" s="38">
        <f t="shared" si="88"/>
        <v>0</v>
      </c>
      <c r="BA17" s="38">
        <f t="shared" si="88"/>
        <v>0</v>
      </c>
      <c r="BB17" s="38">
        <f t="shared" si="88"/>
        <v>0</v>
      </c>
      <c r="BC17" s="38">
        <f t="shared" si="88"/>
        <v>0</v>
      </c>
      <c r="BD17" s="38">
        <f t="shared" si="88"/>
        <v>0</v>
      </c>
      <c r="BE17" s="38">
        <f t="shared" si="88"/>
        <v>0</v>
      </c>
      <c r="BF17" s="38">
        <f t="shared" si="88"/>
        <v>0</v>
      </c>
      <c r="BG17" s="38">
        <f t="shared" si="88"/>
        <v>0</v>
      </c>
      <c r="BH17" s="38">
        <f t="shared" si="88"/>
        <v>0</v>
      </c>
      <c r="BI17" s="38">
        <f t="shared" si="88"/>
        <v>0</v>
      </c>
      <c r="BJ17" s="38">
        <f t="shared" si="88"/>
        <v>0</v>
      </c>
      <c r="BK17" s="38">
        <f t="shared" si="88"/>
        <v>0</v>
      </c>
      <c r="BL17" s="38">
        <f t="shared" si="88"/>
        <v>0</v>
      </c>
      <c r="BM17" s="38">
        <f t="shared" si="88"/>
        <v>0</v>
      </c>
      <c r="BN17" s="38">
        <f t="shared" si="88"/>
        <v>1001732.8799999999</v>
      </c>
      <c r="BO17" s="38">
        <f t="shared" si="88"/>
        <v>0</v>
      </c>
      <c r="BP17" s="38">
        <f t="shared" si="88"/>
        <v>1001732.8799999999</v>
      </c>
      <c r="BQ17" s="38">
        <f t="shared" si="88"/>
        <v>1365420.6199999996</v>
      </c>
      <c r="BR17" s="38">
        <f t="shared" si="88"/>
        <v>0</v>
      </c>
      <c r="BS17" s="38">
        <f t="shared" si="88"/>
        <v>1365420.6199999996</v>
      </c>
      <c r="BT17" s="38">
        <f t="shared" si="88"/>
        <v>30525.730000000003</v>
      </c>
      <c r="BU17" s="38">
        <f t="shared" si="88"/>
        <v>1001732.8799999999</v>
      </c>
      <c r="BV17" s="38">
        <f t="shared" si="88"/>
        <v>1365420.6199999996</v>
      </c>
      <c r="BW17" s="38">
        <f t="shared" si="88"/>
        <v>2397679.2299999995</v>
      </c>
      <c r="BX17" s="6"/>
      <c r="BY17" s="6"/>
      <c r="BZ17" s="6"/>
      <c r="CA17" s="6"/>
      <c r="CB17" s="6"/>
      <c r="CC17" s="6"/>
      <c r="CD17" s="6"/>
      <c r="CE17" s="6"/>
      <c r="CF17" s="6"/>
      <c r="CG17" s="6"/>
    </row>
    <row r="18" spans="1:85" ht="15.75">
      <c r="A18" s="41"/>
      <c r="B18" s="43"/>
      <c r="C18" s="43"/>
      <c r="D18" s="95" t="s">
        <v>67</v>
      </c>
      <c r="E18" s="45">
        <f t="shared" ref="E18:H18" si="89">SUM(E19:E20)</f>
        <v>5000</v>
      </c>
      <c r="F18" s="46">
        <f t="shared" si="89"/>
        <v>0</v>
      </c>
      <c r="G18" s="46">
        <f t="shared" si="89"/>
        <v>5000</v>
      </c>
      <c r="H18" s="46">
        <f t="shared" si="89"/>
        <v>0</v>
      </c>
      <c r="I18" s="96">
        <f t="shared" si="84"/>
        <v>0.6</v>
      </c>
      <c r="J18" s="96">
        <f t="shared" si="85"/>
        <v>0.317826</v>
      </c>
      <c r="K18" s="46">
        <f t="shared" ref="K18:W18" si="90">SUM(K19:K20)</f>
        <v>3000</v>
      </c>
      <c r="L18" s="46">
        <f t="shared" si="90"/>
        <v>0</v>
      </c>
      <c r="M18" s="46">
        <f t="shared" si="90"/>
        <v>0</v>
      </c>
      <c r="N18" s="46">
        <f t="shared" si="90"/>
        <v>0</v>
      </c>
      <c r="O18" s="46">
        <f t="shared" si="90"/>
        <v>1589.1299999999999</v>
      </c>
      <c r="P18" s="46">
        <f t="shared" si="90"/>
        <v>0</v>
      </c>
      <c r="Q18" s="46">
        <f t="shared" si="90"/>
        <v>0</v>
      </c>
      <c r="R18" s="46">
        <f t="shared" si="90"/>
        <v>1589.1299999999999</v>
      </c>
      <c r="S18" s="46">
        <f t="shared" si="90"/>
        <v>0</v>
      </c>
      <c r="T18" s="46">
        <f t="shared" si="90"/>
        <v>0</v>
      </c>
      <c r="U18" s="46">
        <f t="shared" si="90"/>
        <v>1410.8700000000001</v>
      </c>
      <c r="V18" s="46">
        <f t="shared" si="90"/>
        <v>0</v>
      </c>
      <c r="W18" s="46">
        <f t="shared" si="90"/>
        <v>0</v>
      </c>
      <c r="X18" s="97">
        <f t="shared" ref="X18:Y18" si="91">IF(O18&gt;0,O18/K18,0)</f>
        <v>0.52971000000000001</v>
      </c>
      <c r="Y18" s="97">
        <f t="shared" si="91"/>
        <v>0</v>
      </c>
      <c r="Z18" s="97">
        <f t="shared" si="5"/>
        <v>0</v>
      </c>
      <c r="AA18" s="46">
        <f t="shared" ref="AA18:BW18" si="92">SUM(AA19:AA20)</f>
        <v>0</v>
      </c>
      <c r="AB18" s="46">
        <f t="shared" si="92"/>
        <v>0</v>
      </c>
      <c r="AC18" s="46">
        <f t="shared" si="92"/>
        <v>0</v>
      </c>
      <c r="AD18" s="46">
        <f t="shared" si="92"/>
        <v>0</v>
      </c>
      <c r="AE18" s="46">
        <f t="shared" si="92"/>
        <v>0</v>
      </c>
      <c r="AF18" s="46">
        <f t="shared" si="92"/>
        <v>0</v>
      </c>
      <c r="AG18" s="46">
        <f t="shared" si="92"/>
        <v>245.91</v>
      </c>
      <c r="AH18" s="46">
        <f t="shared" si="92"/>
        <v>0</v>
      </c>
      <c r="AI18" s="46">
        <f t="shared" si="92"/>
        <v>0</v>
      </c>
      <c r="AJ18" s="46">
        <f t="shared" si="92"/>
        <v>150.30000000000001</v>
      </c>
      <c r="AK18" s="46">
        <f t="shared" si="92"/>
        <v>0</v>
      </c>
      <c r="AL18" s="46">
        <f t="shared" si="92"/>
        <v>0</v>
      </c>
      <c r="AM18" s="46">
        <f t="shared" si="92"/>
        <v>574.06999999999994</v>
      </c>
      <c r="AN18" s="46">
        <f t="shared" si="92"/>
        <v>0</v>
      </c>
      <c r="AO18" s="46">
        <f t="shared" si="92"/>
        <v>0</v>
      </c>
      <c r="AP18" s="46">
        <f t="shared" si="92"/>
        <v>618.84999999999991</v>
      </c>
      <c r="AQ18" s="46">
        <f t="shared" si="92"/>
        <v>0</v>
      </c>
      <c r="AR18" s="46">
        <f t="shared" si="92"/>
        <v>0</v>
      </c>
      <c r="AS18" s="46">
        <f t="shared" si="92"/>
        <v>0</v>
      </c>
      <c r="AT18" s="46">
        <f t="shared" si="92"/>
        <v>0</v>
      </c>
      <c r="AU18" s="46">
        <f t="shared" si="92"/>
        <v>0</v>
      </c>
      <c r="AV18" s="46">
        <f t="shared" si="92"/>
        <v>0</v>
      </c>
      <c r="AW18" s="46">
        <f t="shared" si="92"/>
        <v>0</v>
      </c>
      <c r="AX18" s="46">
        <f t="shared" si="92"/>
        <v>0</v>
      </c>
      <c r="AY18" s="46">
        <f t="shared" si="92"/>
        <v>0</v>
      </c>
      <c r="AZ18" s="46">
        <f t="shared" si="92"/>
        <v>0</v>
      </c>
      <c r="BA18" s="46">
        <f t="shared" si="92"/>
        <v>0</v>
      </c>
      <c r="BB18" s="46">
        <f t="shared" si="92"/>
        <v>0</v>
      </c>
      <c r="BC18" s="46">
        <f t="shared" si="92"/>
        <v>0</v>
      </c>
      <c r="BD18" s="46">
        <f t="shared" si="92"/>
        <v>0</v>
      </c>
      <c r="BE18" s="46">
        <f t="shared" si="92"/>
        <v>0</v>
      </c>
      <c r="BF18" s="46">
        <f t="shared" si="92"/>
        <v>0</v>
      </c>
      <c r="BG18" s="46">
        <f t="shared" si="92"/>
        <v>0</v>
      </c>
      <c r="BH18" s="46">
        <f t="shared" si="92"/>
        <v>0</v>
      </c>
      <c r="BI18" s="46">
        <f t="shared" si="92"/>
        <v>0</v>
      </c>
      <c r="BJ18" s="46">
        <f t="shared" si="92"/>
        <v>0</v>
      </c>
      <c r="BK18" s="46">
        <f t="shared" si="92"/>
        <v>0</v>
      </c>
      <c r="BL18" s="46">
        <f t="shared" si="92"/>
        <v>0</v>
      </c>
      <c r="BM18" s="46">
        <f t="shared" si="92"/>
        <v>0</v>
      </c>
      <c r="BN18" s="46">
        <f t="shared" si="92"/>
        <v>1589.1299999999999</v>
      </c>
      <c r="BO18" s="46">
        <f t="shared" si="92"/>
        <v>0</v>
      </c>
      <c r="BP18" s="46">
        <f t="shared" si="92"/>
        <v>1589.1299999999999</v>
      </c>
      <c r="BQ18" s="46">
        <f t="shared" si="92"/>
        <v>1410.8700000000001</v>
      </c>
      <c r="BR18" s="46">
        <f t="shared" si="92"/>
        <v>0</v>
      </c>
      <c r="BS18" s="46">
        <f t="shared" si="92"/>
        <v>1410.8700000000001</v>
      </c>
      <c r="BT18" s="46">
        <f t="shared" si="92"/>
        <v>0</v>
      </c>
      <c r="BU18" s="46">
        <f t="shared" si="92"/>
        <v>1589.1299999999999</v>
      </c>
      <c r="BV18" s="46">
        <f t="shared" si="92"/>
        <v>1410.8700000000001</v>
      </c>
      <c r="BW18" s="46">
        <f t="shared" si="92"/>
        <v>3000</v>
      </c>
      <c r="BX18" s="98"/>
      <c r="BY18" s="98"/>
      <c r="BZ18" s="98"/>
      <c r="CA18" s="98"/>
      <c r="CB18" s="98"/>
      <c r="CC18" s="98"/>
      <c r="CD18" s="98"/>
      <c r="CE18" s="98"/>
      <c r="CF18" s="98"/>
      <c r="CG18" s="98"/>
    </row>
    <row r="19" spans="1:85" ht="15.75" customHeight="1">
      <c r="A19" s="52" t="s">
        <v>82</v>
      </c>
      <c r="B19" s="53"/>
      <c r="C19" s="54" t="s">
        <v>69</v>
      </c>
      <c r="D19" s="55" t="s">
        <v>70</v>
      </c>
      <c r="E19" s="56">
        <v>3000</v>
      </c>
      <c r="F19" s="99">
        <v>0</v>
      </c>
      <c r="G19" s="58">
        <f t="shared" ref="G19:G20" si="93">E19-F19</f>
        <v>3000</v>
      </c>
      <c r="H19" s="99">
        <v>0</v>
      </c>
      <c r="I19" s="59">
        <f t="shared" si="84"/>
        <v>1</v>
      </c>
      <c r="J19" s="59">
        <f t="shared" si="85"/>
        <v>0.52971000000000001</v>
      </c>
      <c r="K19" s="60">
        <f>1000+2000</f>
        <v>3000</v>
      </c>
      <c r="L19" s="60">
        <v>0</v>
      </c>
      <c r="M19" s="60">
        <v>0</v>
      </c>
      <c r="N19" s="60">
        <v>0</v>
      </c>
      <c r="O19" s="63">
        <f t="shared" ref="O19:Q19" si="94">AA19+AD19+AG19+AJ19+AM19+AP19+AS19+AV19+AY19+BB19+BE19+BH19</f>
        <v>1589.1299999999999</v>
      </c>
      <c r="P19" s="61">
        <f t="shared" si="94"/>
        <v>0</v>
      </c>
      <c r="Q19" s="61">
        <f t="shared" si="94"/>
        <v>0</v>
      </c>
      <c r="R19" s="61">
        <f t="shared" ref="R19:T19" si="95">IF(BK19=0,SUM(AA19+AD19+AG19+AJ19+AM19+AP19+AS19+AV19+AY19+BB19+BE19+BH19),BK19)</f>
        <v>1589.1299999999999</v>
      </c>
      <c r="S19" s="61">
        <f t="shared" si="95"/>
        <v>0</v>
      </c>
      <c r="T19" s="61">
        <f t="shared" si="95"/>
        <v>0</v>
      </c>
      <c r="U19" s="62">
        <f t="shared" ref="U19:U20" si="96">K19-O19</f>
        <v>1410.8700000000001</v>
      </c>
      <c r="V19" s="63">
        <f t="shared" ref="V19:V20" si="97">L19-M19-S19</f>
        <v>0</v>
      </c>
      <c r="W19" s="63">
        <f t="shared" ref="W19:W20" si="98">N19-Q19</f>
        <v>0</v>
      </c>
      <c r="X19" s="64">
        <f t="shared" ref="X19:Y19" si="99">IF(O19&gt;0,O19/K19,0)</f>
        <v>0.52971000000000001</v>
      </c>
      <c r="Y19" s="64">
        <f t="shared" si="99"/>
        <v>0</v>
      </c>
      <c r="Z19" s="64">
        <f t="shared" si="5"/>
        <v>0</v>
      </c>
      <c r="AA19" s="65"/>
      <c r="AB19" s="65"/>
      <c r="AC19" s="65"/>
      <c r="AD19" s="65"/>
      <c r="AE19" s="66"/>
      <c r="AF19" s="66"/>
      <c r="AG19" s="66">
        <f>129.63+116.28</f>
        <v>245.91</v>
      </c>
      <c r="AH19" s="66"/>
      <c r="AI19" s="65"/>
      <c r="AJ19" s="100">
        <v>150.30000000000001</v>
      </c>
      <c r="AK19" s="65"/>
      <c r="AL19" s="65"/>
      <c r="AM19" s="65">
        <f>120.54+453.53</f>
        <v>574.06999999999994</v>
      </c>
      <c r="AN19" s="65"/>
      <c r="AO19" s="65"/>
      <c r="AP19" s="65">
        <f>391.53+106.78+120.54</f>
        <v>618.84999999999991</v>
      </c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>
        <v>0</v>
      </c>
      <c r="BL19" s="65">
        <v>0</v>
      </c>
      <c r="BM19" s="65">
        <v>0</v>
      </c>
      <c r="BN19" s="65">
        <f t="shared" ref="BN19:BN20" si="100">IF(O19-BK19&gt;0,O19-BK19,0)</f>
        <v>1589.1299999999999</v>
      </c>
      <c r="BO19" s="67">
        <f t="shared" ref="BO19:BO20" si="101">IF(Q19-BM19&gt;0,Q19-BM19,0)</f>
        <v>0</v>
      </c>
      <c r="BP19" s="65">
        <f t="shared" ref="BP19:BP20" si="102">IF(BN19+BO19&gt;0,BN19+BO19,0)</f>
        <v>1589.1299999999999</v>
      </c>
      <c r="BQ19" s="65">
        <f t="shared" ref="BQ19:BQ20" si="103">IF(U19=0,0,U19)</f>
        <v>1410.8700000000001</v>
      </c>
      <c r="BR19" s="65">
        <f t="shared" ref="BR19:BR20" si="104">IF(W19=0,0,W19)</f>
        <v>0</v>
      </c>
      <c r="BS19" s="65">
        <f t="shared" ref="BS19:BS20" si="105">IF(BQ19+BR19&gt;0,BQ19+BR19,0)</f>
        <v>1410.8700000000001</v>
      </c>
      <c r="BT19" s="65">
        <f t="shared" ref="BT19:BT20" si="106">IF(V19&gt;0,V19,0)</f>
        <v>0</v>
      </c>
      <c r="BU19" s="65">
        <f t="shared" ref="BU19:BU20" si="107">IF(BP19=0,0,BP19)</f>
        <v>1589.1299999999999</v>
      </c>
      <c r="BV19" s="65">
        <f t="shared" ref="BV19:BV20" si="108">IF(BS19=0,0,BS19)</f>
        <v>1410.8700000000001</v>
      </c>
      <c r="BW19" s="65">
        <f t="shared" ref="BW19:BW20" si="109">IF(BP19+BT19+BV19&gt;0,BP19+BT19+BV19,0)</f>
        <v>3000</v>
      </c>
      <c r="BX19" s="6"/>
      <c r="BY19" s="6"/>
      <c r="BZ19" s="6"/>
      <c r="CA19" s="6"/>
      <c r="CB19" s="6"/>
      <c r="CC19" s="6"/>
      <c r="CD19" s="6"/>
      <c r="CE19" s="6"/>
      <c r="CF19" s="6"/>
      <c r="CG19" s="6"/>
    </row>
    <row r="20" spans="1:85" ht="15.75" customHeight="1">
      <c r="A20" s="71"/>
      <c r="B20" s="72"/>
      <c r="C20" s="71" t="s">
        <v>73</v>
      </c>
      <c r="D20" s="73" t="s">
        <v>74</v>
      </c>
      <c r="E20" s="56">
        <v>2000</v>
      </c>
      <c r="F20" s="57">
        <v>0</v>
      </c>
      <c r="G20" s="58">
        <f t="shared" si="93"/>
        <v>2000</v>
      </c>
      <c r="H20" s="57">
        <v>0</v>
      </c>
      <c r="I20" s="59">
        <f t="shared" si="84"/>
        <v>0</v>
      </c>
      <c r="J20" s="59">
        <f t="shared" si="85"/>
        <v>0</v>
      </c>
      <c r="K20" s="74">
        <v>0</v>
      </c>
      <c r="L20" s="74">
        <v>0</v>
      </c>
      <c r="M20" s="74">
        <v>0</v>
      </c>
      <c r="N20" s="74">
        <v>0</v>
      </c>
      <c r="O20" s="61">
        <f t="shared" ref="O20:Q20" si="110">AA20+AD20+AG20+AJ20+AM20+AP20+AS20+AV20+AY20+BB20+BE20+BH20</f>
        <v>0</v>
      </c>
      <c r="P20" s="61">
        <f t="shared" si="110"/>
        <v>0</v>
      </c>
      <c r="Q20" s="61">
        <f t="shared" si="110"/>
        <v>0</v>
      </c>
      <c r="R20" s="61">
        <f t="shared" ref="R20:T20" si="111">IF(BK20=0,SUM(AA20+AD20+AG20+AJ20+AM20+AP20+AS20+AV20+AY20+BB20+BE20+BH20),BK20)</f>
        <v>0</v>
      </c>
      <c r="S20" s="61">
        <f t="shared" si="111"/>
        <v>0</v>
      </c>
      <c r="T20" s="61">
        <f t="shared" si="111"/>
        <v>0</v>
      </c>
      <c r="U20" s="63">
        <f t="shared" si="96"/>
        <v>0</v>
      </c>
      <c r="V20" s="63">
        <f t="shared" si="97"/>
        <v>0</v>
      </c>
      <c r="W20" s="63">
        <f t="shared" si="98"/>
        <v>0</v>
      </c>
      <c r="X20" s="64">
        <f t="shared" ref="X20:Y20" si="112">IF(O20&gt;0,O20/K20,0)</f>
        <v>0</v>
      </c>
      <c r="Y20" s="64">
        <f t="shared" si="112"/>
        <v>0</v>
      </c>
      <c r="Z20" s="64">
        <f t="shared" si="5"/>
        <v>0</v>
      </c>
      <c r="AA20" s="65"/>
      <c r="AB20" s="65"/>
      <c r="AC20" s="65"/>
      <c r="AD20" s="65"/>
      <c r="AE20" s="66"/>
      <c r="AF20" s="66"/>
      <c r="AG20" s="66"/>
      <c r="AH20" s="66"/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>
        <v>0</v>
      </c>
      <c r="BL20" s="65">
        <v>0</v>
      </c>
      <c r="BM20" s="65">
        <v>0</v>
      </c>
      <c r="BN20" s="65">
        <f t="shared" si="100"/>
        <v>0</v>
      </c>
      <c r="BO20" s="67">
        <f t="shared" si="101"/>
        <v>0</v>
      </c>
      <c r="BP20" s="65">
        <f t="shared" si="102"/>
        <v>0</v>
      </c>
      <c r="BQ20" s="65">
        <f t="shared" si="103"/>
        <v>0</v>
      </c>
      <c r="BR20" s="65">
        <f t="shared" si="104"/>
        <v>0</v>
      </c>
      <c r="BS20" s="65">
        <f t="shared" si="105"/>
        <v>0</v>
      </c>
      <c r="BT20" s="65">
        <f t="shared" si="106"/>
        <v>0</v>
      </c>
      <c r="BU20" s="65">
        <f t="shared" si="107"/>
        <v>0</v>
      </c>
      <c r="BV20" s="65">
        <f t="shared" si="108"/>
        <v>0</v>
      </c>
      <c r="BW20" s="65">
        <f t="shared" si="109"/>
        <v>0</v>
      </c>
      <c r="BX20" s="6"/>
      <c r="BY20" s="6"/>
      <c r="BZ20" s="6"/>
      <c r="CA20" s="6"/>
      <c r="CB20" s="6"/>
      <c r="CC20" s="6"/>
      <c r="CD20" s="6"/>
      <c r="CE20" s="6"/>
      <c r="CF20" s="6"/>
      <c r="CG20" s="6"/>
    </row>
    <row r="21" spans="1:85" ht="15.75">
      <c r="A21" s="75"/>
      <c r="B21" s="77"/>
      <c r="C21" s="77"/>
      <c r="D21" s="101" t="s">
        <v>83</v>
      </c>
      <c r="E21" s="45">
        <f t="shared" ref="E21:H21" si="113">SUM(E22:E45)</f>
        <v>237000</v>
      </c>
      <c r="F21" s="46">
        <f t="shared" si="113"/>
        <v>0</v>
      </c>
      <c r="G21" s="46">
        <f t="shared" si="113"/>
        <v>237000</v>
      </c>
      <c r="H21" s="46">
        <f t="shared" si="113"/>
        <v>0</v>
      </c>
      <c r="I21" s="96">
        <f t="shared" si="84"/>
        <v>0.32678130801687755</v>
      </c>
      <c r="J21" s="96">
        <f t="shared" si="85"/>
        <v>0.25156670886075949</v>
      </c>
      <c r="K21" s="46">
        <f t="shared" ref="K21:W21" si="114">SUM(K22:K45)</f>
        <v>77447.169999999984</v>
      </c>
      <c r="L21" s="46">
        <f t="shared" si="114"/>
        <v>3326.73</v>
      </c>
      <c r="M21" s="46">
        <f t="shared" si="114"/>
        <v>0</v>
      </c>
      <c r="N21" s="46">
        <f t="shared" si="114"/>
        <v>0</v>
      </c>
      <c r="O21" s="46">
        <f t="shared" si="114"/>
        <v>59621.31</v>
      </c>
      <c r="P21" s="46">
        <f t="shared" si="114"/>
        <v>3326.73</v>
      </c>
      <c r="Q21" s="46">
        <f t="shared" si="114"/>
        <v>0</v>
      </c>
      <c r="R21" s="46">
        <f t="shared" si="114"/>
        <v>59621.31</v>
      </c>
      <c r="S21" s="46">
        <f t="shared" si="114"/>
        <v>3326.73</v>
      </c>
      <c r="T21" s="46">
        <f t="shared" si="114"/>
        <v>0</v>
      </c>
      <c r="U21" s="46">
        <f t="shared" si="114"/>
        <v>17825.86</v>
      </c>
      <c r="V21" s="46">
        <f t="shared" si="114"/>
        <v>0</v>
      </c>
      <c r="W21" s="46">
        <f t="shared" si="114"/>
        <v>0</v>
      </c>
      <c r="X21" s="97">
        <f t="shared" ref="X21:Y21" si="115">IF(O21&gt;0,O21/K21,0)</f>
        <v>0.76983200289952503</v>
      </c>
      <c r="Y21" s="97">
        <f t="shared" si="115"/>
        <v>1</v>
      </c>
      <c r="Z21" s="97">
        <f t="shared" si="5"/>
        <v>0</v>
      </c>
      <c r="AA21" s="46">
        <f t="shared" ref="AA21:BW21" si="116">SUM(AA22:AA45)</f>
        <v>0</v>
      </c>
      <c r="AB21" s="46">
        <f t="shared" si="116"/>
        <v>289.60000000000002</v>
      </c>
      <c r="AC21" s="46">
        <f t="shared" si="116"/>
        <v>0</v>
      </c>
      <c r="AD21" s="46">
        <f t="shared" si="116"/>
        <v>25199.11</v>
      </c>
      <c r="AE21" s="46">
        <f t="shared" si="116"/>
        <v>3037.13</v>
      </c>
      <c r="AF21" s="46">
        <f t="shared" si="116"/>
        <v>0</v>
      </c>
      <c r="AG21" s="46">
        <f t="shared" si="116"/>
        <v>3999.5</v>
      </c>
      <c r="AH21" s="46">
        <f t="shared" si="116"/>
        <v>0</v>
      </c>
      <c r="AI21" s="46">
        <f t="shared" si="116"/>
        <v>0</v>
      </c>
      <c r="AJ21" s="46">
        <f t="shared" si="116"/>
        <v>3131.8</v>
      </c>
      <c r="AK21" s="46">
        <f t="shared" si="116"/>
        <v>0</v>
      </c>
      <c r="AL21" s="46">
        <f t="shared" si="116"/>
        <v>0</v>
      </c>
      <c r="AM21" s="46">
        <f t="shared" si="116"/>
        <v>14655.580000000002</v>
      </c>
      <c r="AN21" s="46">
        <f t="shared" si="116"/>
        <v>0</v>
      </c>
      <c r="AO21" s="46">
        <f t="shared" si="116"/>
        <v>0</v>
      </c>
      <c r="AP21" s="46">
        <f t="shared" si="116"/>
        <v>12635.32</v>
      </c>
      <c r="AQ21" s="46">
        <f t="shared" si="116"/>
        <v>0</v>
      </c>
      <c r="AR21" s="46">
        <f t="shared" si="116"/>
        <v>0</v>
      </c>
      <c r="AS21" s="46">
        <f t="shared" si="116"/>
        <v>0</v>
      </c>
      <c r="AT21" s="46">
        <f t="shared" si="116"/>
        <v>0</v>
      </c>
      <c r="AU21" s="46">
        <f t="shared" si="116"/>
        <v>0</v>
      </c>
      <c r="AV21" s="46">
        <f t="shared" si="116"/>
        <v>0</v>
      </c>
      <c r="AW21" s="46">
        <f t="shared" si="116"/>
        <v>0</v>
      </c>
      <c r="AX21" s="46">
        <f t="shared" si="116"/>
        <v>0</v>
      </c>
      <c r="AY21" s="46">
        <f t="shared" si="116"/>
        <v>0</v>
      </c>
      <c r="AZ21" s="46">
        <f t="shared" si="116"/>
        <v>0</v>
      </c>
      <c r="BA21" s="46">
        <f t="shared" si="116"/>
        <v>0</v>
      </c>
      <c r="BB21" s="46">
        <f t="shared" si="116"/>
        <v>0</v>
      </c>
      <c r="BC21" s="46">
        <f t="shared" si="116"/>
        <v>0</v>
      </c>
      <c r="BD21" s="46">
        <f t="shared" si="116"/>
        <v>0</v>
      </c>
      <c r="BE21" s="46">
        <f t="shared" si="116"/>
        <v>0</v>
      </c>
      <c r="BF21" s="46">
        <f t="shared" si="116"/>
        <v>0</v>
      </c>
      <c r="BG21" s="46">
        <f t="shared" si="116"/>
        <v>0</v>
      </c>
      <c r="BH21" s="46">
        <f t="shared" si="116"/>
        <v>0</v>
      </c>
      <c r="BI21" s="46">
        <f t="shared" si="116"/>
        <v>0</v>
      </c>
      <c r="BJ21" s="46">
        <f t="shared" si="116"/>
        <v>0</v>
      </c>
      <c r="BK21" s="46">
        <f t="shared" si="116"/>
        <v>0</v>
      </c>
      <c r="BL21" s="46">
        <f t="shared" si="116"/>
        <v>0</v>
      </c>
      <c r="BM21" s="46">
        <f t="shared" si="116"/>
        <v>0</v>
      </c>
      <c r="BN21" s="46">
        <f t="shared" si="116"/>
        <v>59621.31</v>
      </c>
      <c r="BO21" s="46">
        <f t="shared" si="116"/>
        <v>0</v>
      </c>
      <c r="BP21" s="46">
        <f t="shared" si="116"/>
        <v>59621.31</v>
      </c>
      <c r="BQ21" s="46">
        <f t="shared" si="116"/>
        <v>17825.86</v>
      </c>
      <c r="BR21" s="46">
        <f t="shared" si="116"/>
        <v>0</v>
      </c>
      <c r="BS21" s="46">
        <f t="shared" si="116"/>
        <v>17825.86</v>
      </c>
      <c r="BT21" s="46">
        <f t="shared" si="116"/>
        <v>0</v>
      </c>
      <c r="BU21" s="46">
        <f t="shared" si="116"/>
        <v>59621.31</v>
      </c>
      <c r="BV21" s="46">
        <f t="shared" si="116"/>
        <v>17825.86</v>
      </c>
      <c r="BW21" s="46">
        <f t="shared" si="116"/>
        <v>77447.169999999984</v>
      </c>
      <c r="BX21" s="98"/>
      <c r="BY21" s="98"/>
      <c r="BZ21" s="98"/>
      <c r="CA21" s="98"/>
      <c r="CB21" s="98"/>
      <c r="CC21" s="98"/>
      <c r="CD21" s="98"/>
      <c r="CE21" s="98"/>
      <c r="CF21" s="98"/>
      <c r="CG21" s="98"/>
    </row>
    <row r="22" spans="1:85" ht="15.75" customHeight="1">
      <c r="A22" s="54"/>
      <c r="B22" s="102"/>
      <c r="C22" s="54" t="s">
        <v>84</v>
      </c>
      <c r="D22" s="55" t="s">
        <v>85</v>
      </c>
      <c r="E22" s="56">
        <v>25000</v>
      </c>
      <c r="F22" s="57">
        <v>0</v>
      </c>
      <c r="G22" s="58">
        <f t="shared" ref="G22:G45" si="117">E22-F22</f>
        <v>25000</v>
      </c>
      <c r="H22" s="57">
        <v>0</v>
      </c>
      <c r="I22" s="59">
        <f t="shared" si="84"/>
        <v>0</v>
      </c>
      <c r="J22" s="59">
        <f t="shared" si="85"/>
        <v>0</v>
      </c>
      <c r="K22" s="74">
        <v>0</v>
      </c>
      <c r="L22" s="74">
        <v>0</v>
      </c>
      <c r="M22" s="74">
        <v>0</v>
      </c>
      <c r="N22" s="74">
        <v>0</v>
      </c>
      <c r="O22" s="63">
        <f t="shared" ref="O22:Q22" si="118">AA22+AD22+AG22+AJ22+AM22+AP22+AS22+AV22+AY22+BB22+BE22+BH22</f>
        <v>0</v>
      </c>
      <c r="P22" s="61">
        <f t="shared" si="118"/>
        <v>0</v>
      </c>
      <c r="Q22" s="61">
        <f t="shared" si="118"/>
        <v>0</v>
      </c>
      <c r="R22" s="61">
        <f t="shared" ref="R22:T22" si="119">IF(BK22=0,SUM(AA22+AD22+AG22+AJ22+AM22+AP22+AS22+AV22+AY22+BB22+BE22+BH22),BK22)</f>
        <v>0</v>
      </c>
      <c r="S22" s="61">
        <f t="shared" si="119"/>
        <v>0</v>
      </c>
      <c r="T22" s="61">
        <f t="shared" si="119"/>
        <v>0</v>
      </c>
      <c r="U22" s="63">
        <f t="shared" ref="U22:U45" si="120">K22-O22</f>
        <v>0</v>
      </c>
      <c r="V22" s="63">
        <f t="shared" ref="V22:V45" si="121">L22-M22-S22</f>
        <v>0</v>
      </c>
      <c r="W22" s="63">
        <f t="shared" ref="W22:W45" si="122">N22-Q22</f>
        <v>0</v>
      </c>
      <c r="X22" s="64">
        <f t="shared" ref="X22:Y22" si="123">IF(O22&gt;0,O22/K22,0)</f>
        <v>0</v>
      </c>
      <c r="Y22" s="64">
        <f t="shared" si="123"/>
        <v>0</v>
      </c>
      <c r="Z22" s="64">
        <f t="shared" si="5"/>
        <v>0</v>
      </c>
      <c r="AA22" s="65"/>
      <c r="AB22" s="65"/>
      <c r="AC22" s="65"/>
      <c r="AD22" s="65"/>
      <c r="AE22" s="66"/>
      <c r="AF22" s="66"/>
      <c r="AG22" s="66"/>
      <c r="AH22" s="66"/>
      <c r="AI22" s="65"/>
      <c r="AJ22" s="65"/>
      <c r="AK22" s="65"/>
      <c r="AL22" s="65"/>
      <c r="AM22" s="65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>
        <v>0</v>
      </c>
      <c r="BL22" s="65">
        <v>0</v>
      </c>
      <c r="BM22" s="65">
        <v>0</v>
      </c>
      <c r="BN22" s="65">
        <f t="shared" ref="BN22:BN45" si="124">IF(O22-BK22&gt;0,O22-BK22,0)</f>
        <v>0</v>
      </c>
      <c r="BO22" s="67">
        <f t="shared" ref="BO22:BO45" si="125">IF(Q22-BM22&gt;0,Q22-BM22,0)</f>
        <v>0</v>
      </c>
      <c r="BP22" s="65">
        <f t="shared" ref="BP22:BP45" si="126">IF(BN22+BO22&gt;0,BN22+BO22,0)</f>
        <v>0</v>
      </c>
      <c r="BQ22" s="65">
        <f t="shared" ref="BQ22:BQ45" si="127">IF(U22=0,0,U22)</f>
        <v>0</v>
      </c>
      <c r="BR22" s="65">
        <f t="shared" ref="BR22:BR45" si="128">IF(W22=0,0,W22)</f>
        <v>0</v>
      </c>
      <c r="BS22" s="65">
        <f t="shared" ref="BS22:BS45" si="129">IF(BQ22+BR22&gt;0,BQ22+BR22,0)</f>
        <v>0</v>
      </c>
      <c r="BT22" s="65">
        <f t="shared" ref="BT22:BT45" si="130">IF(V22&gt;0,V22,0)</f>
        <v>0</v>
      </c>
      <c r="BU22" s="65">
        <f t="shared" ref="BU22:BU45" si="131">IF(BP22=0,0,BP22)</f>
        <v>0</v>
      </c>
      <c r="BV22" s="65">
        <f t="shared" ref="BV22:BV45" si="132">IF(BS22=0,0,BS22)</f>
        <v>0</v>
      </c>
      <c r="BW22" s="65">
        <f t="shared" ref="BW22:BW45" si="133">IF(BP22+BT22+BV22&gt;0,BP22+BT22+BV22,0)</f>
        <v>0</v>
      </c>
      <c r="BX22" s="6"/>
      <c r="BY22" s="6"/>
      <c r="BZ22" s="6"/>
      <c r="CA22" s="6"/>
      <c r="CB22" s="6"/>
      <c r="CC22" s="6"/>
      <c r="CD22" s="6"/>
      <c r="CE22" s="6"/>
      <c r="CF22" s="6"/>
      <c r="CG22" s="6"/>
    </row>
    <row r="23" spans="1:85" ht="15.75" customHeight="1">
      <c r="A23" s="68"/>
      <c r="B23" s="103"/>
      <c r="C23" s="68" t="s">
        <v>86</v>
      </c>
      <c r="D23" s="70" t="s">
        <v>87</v>
      </c>
      <c r="E23" s="56">
        <v>5000</v>
      </c>
      <c r="F23" s="57">
        <v>0</v>
      </c>
      <c r="G23" s="58">
        <f t="shared" si="117"/>
        <v>5000</v>
      </c>
      <c r="H23" s="57">
        <v>0</v>
      </c>
      <c r="I23" s="59">
        <f t="shared" si="84"/>
        <v>0</v>
      </c>
      <c r="J23" s="59">
        <f t="shared" si="85"/>
        <v>0</v>
      </c>
      <c r="K23" s="74">
        <v>0</v>
      </c>
      <c r="L23" s="74">
        <v>0</v>
      </c>
      <c r="M23" s="74">
        <v>0</v>
      </c>
      <c r="N23" s="74">
        <v>0</v>
      </c>
      <c r="O23" s="63">
        <f t="shared" ref="O23:Q23" si="134">AA23+AD23+AG23+AJ23+AM23+AP23+AS23+AV23+AY23+BB23+BE23+BH23</f>
        <v>0</v>
      </c>
      <c r="P23" s="61">
        <f t="shared" si="134"/>
        <v>0</v>
      </c>
      <c r="Q23" s="61">
        <f t="shared" si="134"/>
        <v>0</v>
      </c>
      <c r="R23" s="61">
        <f t="shared" ref="R23:T23" si="135">IF(BK23=0,SUM(AA23+AD23+AG23+AJ23+AM23+AP23+AS23+AV23+AY23+BB23+BE23+BH23),BK23)</f>
        <v>0</v>
      </c>
      <c r="S23" s="61">
        <f t="shared" si="135"/>
        <v>0</v>
      </c>
      <c r="T23" s="61">
        <f t="shared" si="135"/>
        <v>0</v>
      </c>
      <c r="U23" s="63">
        <f t="shared" si="120"/>
        <v>0</v>
      </c>
      <c r="V23" s="63">
        <f t="shared" si="121"/>
        <v>0</v>
      </c>
      <c r="W23" s="63">
        <f t="shared" si="122"/>
        <v>0</v>
      </c>
      <c r="X23" s="64">
        <f t="shared" ref="X23:Y23" si="136">IF(O23&gt;0,O23/K23,0)</f>
        <v>0</v>
      </c>
      <c r="Y23" s="64">
        <f t="shared" si="136"/>
        <v>0</v>
      </c>
      <c r="Z23" s="64">
        <f t="shared" si="5"/>
        <v>0</v>
      </c>
      <c r="AA23" s="65"/>
      <c r="AB23" s="65"/>
      <c r="AC23" s="65"/>
      <c r="AD23" s="65"/>
      <c r="AE23" s="66"/>
      <c r="AF23" s="66"/>
      <c r="AG23" s="66"/>
      <c r="AH23" s="66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>
        <v>0</v>
      </c>
      <c r="BL23" s="65">
        <v>0</v>
      </c>
      <c r="BM23" s="65">
        <v>0</v>
      </c>
      <c r="BN23" s="65">
        <f t="shared" si="124"/>
        <v>0</v>
      </c>
      <c r="BO23" s="67">
        <f t="shared" si="125"/>
        <v>0</v>
      </c>
      <c r="BP23" s="65">
        <f t="shared" si="126"/>
        <v>0</v>
      </c>
      <c r="BQ23" s="65">
        <f t="shared" si="127"/>
        <v>0</v>
      </c>
      <c r="BR23" s="65">
        <f t="shared" si="128"/>
        <v>0</v>
      </c>
      <c r="BS23" s="65">
        <f t="shared" si="129"/>
        <v>0</v>
      </c>
      <c r="BT23" s="65">
        <f t="shared" si="130"/>
        <v>0</v>
      </c>
      <c r="BU23" s="65">
        <f t="shared" si="131"/>
        <v>0</v>
      </c>
      <c r="BV23" s="65">
        <f t="shared" si="132"/>
        <v>0</v>
      </c>
      <c r="BW23" s="65">
        <f t="shared" si="133"/>
        <v>0</v>
      </c>
      <c r="BX23" s="6"/>
      <c r="BY23" s="6"/>
      <c r="BZ23" s="6"/>
      <c r="CA23" s="6"/>
      <c r="CB23" s="6"/>
      <c r="CC23" s="6"/>
      <c r="CD23" s="6"/>
      <c r="CE23" s="6"/>
      <c r="CF23" s="6"/>
      <c r="CG23" s="6"/>
    </row>
    <row r="24" spans="1:85" ht="15.75" customHeight="1">
      <c r="A24" s="68"/>
      <c r="B24" s="103"/>
      <c r="C24" s="68" t="s">
        <v>88</v>
      </c>
      <c r="D24" s="70" t="s">
        <v>89</v>
      </c>
      <c r="E24" s="56">
        <v>5000</v>
      </c>
      <c r="F24" s="57">
        <v>0</v>
      </c>
      <c r="G24" s="58">
        <f t="shared" si="117"/>
        <v>5000</v>
      </c>
      <c r="H24" s="57">
        <v>0</v>
      </c>
      <c r="I24" s="59">
        <f t="shared" si="84"/>
        <v>0</v>
      </c>
      <c r="J24" s="59">
        <f t="shared" si="85"/>
        <v>0</v>
      </c>
      <c r="K24" s="74">
        <v>0</v>
      </c>
      <c r="L24" s="74">
        <v>0</v>
      </c>
      <c r="M24" s="74">
        <v>0</v>
      </c>
      <c r="N24" s="74">
        <v>0</v>
      </c>
      <c r="O24" s="63">
        <f t="shared" ref="O24:Q24" si="137">AA24+AD24+AG24+AJ24+AM24+AP24+AS24+AV24+AY24+BB24+BE24+BH24</f>
        <v>0</v>
      </c>
      <c r="P24" s="61">
        <f t="shared" si="137"/>
        <v>0</v>
      </c>
      <c r="Q24" s="61">
        <f t="shared" si="137"/>
        <v>0</v>
      </c>
      <c r="R24" s="61">
        <f t="shared" ref="R24:T24" si="138">IF(BK24=0,SUM(AA24+AD24+AG24+AJ24+AM24+AP24+AS24+AV24+AY24+BB24+BE24+BH24),BK24)</f>
        <v>0</v>
      </c>
      <c r="S24" s="61">
        <f t="shared" si="138"/>
        <v>0</v>
      </c>
      <c r="T24" s="61">
        <f t="shared" si="138"/>
        <v>0</v>
      </c>
      <c r="U24" s="63">
        <f t="shared" si="120"/>
        <v>0</v>
      </c>
      <c r="V24" s="63">
        <f t="shared" si="121"/>
        <v>0</v>
      </c>
      <c r="W24" s="63">
        <f t="shared" si="122"/>
        <v>0</v>
      </c>
      <c r="X24" s="64">
        <f t="shared" ref="X24:Y24" si="139">IF(O24&gt;0,O24/K24,0)</f>
        <v>0</v>
      </c>
      <c r="Y24" s="64">
        <f t="shared" si="139"/>
        <v>0</v>
      </c>
      <c r="Z24" s="64">
        <f t="shared" si="5"/>
        <v>0</v>
      </c>
      <c r="AA24" s="65"/>
      <c r="AB24" s="65"/>
      <c r="AC24" s="65"/>
      <c r="AD24" s="65"/>
      <c r="AE24" s="66"/>
      <c r="AF24" s="66"/>
      <c r="AG24" s="66"/>
      <c r="AH24" s="66"/>
      <c r="AI24" s="65"/>
      <c r="AJ24" s="65"/>
      <c r="AK24" s="65"/>
      <c r="AL24" s="65"/>
      <c r="AM24" s="65"/>
      <c r="AN24" s="65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>
        <v>0</v>
      </c>
      <c r="BL24" s="65">
        <v>0</v>
      </c>
      <c r="BM24" s="65">
        <v>0</v>
      </c>
      <c r="BN24" s="65">
        <f t="shared" si="124"/>
        <v>0</v>
      </c>
      <c r="BO24" s="67">
        <f t="shared" si="125"/>
        <v>0</v>
      </c>
      <c r="BP24" s="65">
        <f t="shared" si="126"/>
        <v>0</v>
      </c>
      <c r="BQ24" s="65">
        <f t="shared" si="127"/>
        <v>0</v>
      </c>
      <c r="BR24" s="65">
        <f t="shared" si="128"/>
        <v>0</v>
      </c>
      <c r="BS24" s="65">
        <f t="shared" si="129"/>
        <v>0</v>
      </c>
      <c r="BT24" s="65">
        <f t="shared" si="130"/>
        <v>0</v>
      </c>
      <c r="BU24" s="65">
        <f t="shared" si="131"/>
        <v>0</v>
      </c>
      <c r="BV24" s="65">
        <f t="shared" si="132"/>
        <v>0</v>
      </c>
      <c r="BW24" s="65">
        <f t="shared" si="133"/>
        <v>0</v>
      </c>
      <c r="BX24" s="6"/>
      <c r="BY24" s="6"/>
      <c r="BZ24" s="6"/>
      <c r="CA24" s="6"/>
      <c r="CB24" s="6"/>
      <c r="CC24" s="6"/>
      <c r="CD24" s="6"/>
      <c r="CE24" s="6"/>
      <c r="CF24" s="6"/>
      <c r="CG24" s="6"/>
    </row>
    <row r="25" spans="1:85" ht="15.75" customHeight="1">
      <c r="A25" s="68"/>
      <c r="B25" s="103"/>
      <c r="C25" s="68" t="s">
        <v>90</v>
      </c>
      <c r="D25" s="70" t="s">
        <v>91</v>
      </c>
      <c r="E25" s="56">
        <v>20000</v>
      </c>
      <c r="F25" s="57">
        <v>0</v>
      </c>
      <c r="G25" s="58">
        <f t="shared" si="117"/>
        <v>20000</v>
      </c>
      <c r="H25" s="57">
        <v>0</v>
      </c>
      <c r="I25" s="59">
        <f t="shared" si="84"/>
        <v>0</v>
      </c>
      <c r="J25" s="59">
        <f t="shared" si="85"/>
        <v>0</v>
      </c>
      <c r="K25" s="74">
        <v>0</v>
      </c>
      <c r="L25" s="74">
        <v>0</v>
      </c>
      <c r="M25" s="74">
        <v>0</v>
      </c>
      <c r="N25" s="74">
        <v>0</v>
      </c>
      <c r="O25" s="63">
        <f t="shared" ref="O25:Q25" si="140">AA25+AD25+AG25+AJ25+AM25+AP25+AS25+AV25+AY25+BB25+BE25+BH25</f>
        <v>0</v>
      </c>
      <c r="P25" s="61">
        <f t="shared" si="140"/>
        <v>0</v>
      </c>
      <c r="Q25" s="61">
        <f t="shared" si="140"/>
        <v>0</v>
      </c>
      <c r="R25" s="61">
        <f t="shared" ref="R25:T25" si="141">IF(BK25=0,SUM(AA25+AD25+AG25+AJ25+AM25+AP25+AS25+AV25+AY25+BB25+BE25+BH25),BK25)</f>
        <v>0</v>
      </c>
      <c r="S25" s="61">
        <f t="shared" si="141"/>
        <v>0</v>
      </c>
      <c r="T25" s="61">
        <f t="shared" si="141"/>
        <v>0</v>
      </c>
      <c r="U25" s="63">
        <f t="shared" si="120"/>
        <v>0</v>
      </c>
      <c r="V25" s="63">
        <f t="shared" si="121"/>
        <v>0</v>
      </c>
      <c r="W25" s="63">
        <f t="shared" si="122"/>
        <v>0</v>
      </c>
      <c r="X25" s="64">
        <f t="shared" ref="X25:Y25" si="142">IF(O25&gt;0,O25/K25,0)</f>
        <v>0</v>
      </c>
      <c r="Y25" s="64">
        <f t="shared" si="142"/>
        <v>0</v>
      </c>
      <c r="Z25" s="64">
        <f t="shared" si="5"/>
        <v>0</v>
      </c>
      <c r="AA25" s="65"/>
      <c r="AB25" s="65"/>
      <c r="AC25" s="65"/>
      <c r="AD25" s="65"/>
      <c r="AE25" s="66"/>
      <c r="AF25" s="66"/>
      <c r="AG25" s="66"/>
      <c r="AH25" s="66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>
        <v>0</v>
      </c>
      <c r="BL25" s="65">
        <v>0</v>
      </c>
      <c r="BM25" s="65">
        <v>0</v>
      </c>
      <c r="BN25" s="65">
        <f t="shared" si="124"/>
        <v>0</v>
      </c>
      <c r="BO25" s="67">
        <f t="shared" si="125"/>
        <v>0</v>
      </c>
      <c r="BP25" s="65">
        <f t="shared" si="126"/>
        <v>0</v>
      </c>
      <c r="BQ25" s="65">
        <f t="shared" si="127"/>
        <v>0</v>
      </c>
      <c r="BR25" s="65">
        <f t="shared" si="128"/>
        <v>0</v>
      </c>
      <c r="BS25" s="65">
        <f t="shared" si="129"/>
        <v>0</v>
      </c>
      <c r="BT25" s="65">
        <f t="shared" si="130"/>
        <v>0</v>
      </c>
      <c r="BU25" s="65">
        <f t="shared" si="131"/>
        <v>0</v>
      </c>
      <c r="BV25" s="65">
        <f t="shared" si="132"/>
        <v>0</v>
      </c>
      <c r="BW25" s="65">
        <f t="shared" si="133"/>
        <v>0</v>
      </c>
      <c r="BX25" s="6"/>
      <c r="BY25" s="6"/>
      <c r="BZ25" s="6"/>
      <c r="CA25" s="6"/>
      <c r="CB25" s="6"/>
      <c r="CC25" s="6"/>
      <c r="CD25" s="6"/>
      <c r="CE25" s="6"/>
      <c r="CF25" s="6"/>
      <c r="CG25" s="6"/>
    </row>
    <row r="26" spans="1:85" ht="15.75" customHeight="1">
      <c r="A26" s="104" t="s">
        <v>92</v>
      </c>
      <c r="B26" s="103"/>
      <c r="C26" s="68" t="s">
        <v>93</v>
      </c>
      <c r="D26" s="105" t="s">
        <v>94</v>
      </c>
      <c r="E26" s="56">
        <v>500</v>
      </c>
      <c r="F26" s="57">
        <v>0</v>
      </c>
      <c r="G26" s="58">
        <f t="shared" si="117"/>
        <v>500</v>
      </c>
      <c r="H26" s="57">
        <v>0</v>
      </c>
      <c r="I26" s="59">
        <f t="shared" si="84"/>
        <v>1.1824600000000001</v>
      </c>
      <c r="J26" s="59">
        <f t="shared" si="85"/>
        <v>0</v>
      </c>
      <c r="K26" s="74">
        <v>591.23</v>
      </c>
      <c r="L26" s="74">
        <v>0</v>
      </c>
      <c r="M26" s="74">
        <v>0</v>
      </c>
      <c r="N26" s="74">
        <v>0</v>
      </c>
      <c r="O26" s="63">
        <f t="shared" ref="O26:Q26" si="143">AA26+AD26+AG26+AJ26+AM26+AP26+AS26+AV26+AY26+BB26+BE26+BH26</f>
        <v>0</v>
      </c>
      <c r="P26" s="61">
        <f t="shared" si="143"/>
        <v>0</v>
      </c>
      <c r="Q26" s="61">
        <f t="shared" si="143"/>
        <v>0</v>
      </c>
      <c r="R26" s="61">
        <f t="shared" ref="R26:T26" si="144">IF(BK26=0,SUM(AA26+AD26+AG26+AJ26+AM26+AP26+AS26+AV26+AY26+BB26+BE26+BH26),BK26)</f>
        <v>0</v>
      </c>
      <c r="S26" s="61">
        <f t="shared" si="144"/>
        <v>0</v>
      </c>
      <c r="T26" s="61">
        <f t="shared" si="144"/>
        <v>0</v>
      </c>
      <c r="U26" s="63">
        <f t="shared" si="120"/>
        <v>591.23</v>
      </c>
      <c r="V26" s="63">
        <f t="shared" si="121"/>
        <v>0</v>
      </c>
      <c r="W26" s="63">
        <f t="shared" si="122"/>
        <v>0</v>
      </c>
      <c r="X26" s="64">
        <f t="shared" ref="X26:Y26" si="145">IF(O26&gt;0,O26/K26,0)</f>
        <v>0</v>
      </c>
      <c r="Y26" s="64">
        <f t="shared" si="145"/>
        <v>0</v>
      </c>
      <c r="Z26" s="64">
        <f t="shared" si="5"/>
        <v>0</v>
      </c>
      <c r="AA26" s="65"/>
      <c r="AB26" s="65"/>
      <c r="AC26" s="65"/>
      <c r="AD26" s="65"/>
      <c r="AE26" s="66"/>
      <c r="AF26" s="66"/>
      <c r="AG26" s="66"/>
      <c r="AH26" s="66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>
        <v>0</v>
      </c>
      <c r="BL26" s="65">
        <v>0</v>
      </c>
      <c r="BM26" s="65">
        <v>0</v>
      </c>
      <c r="BN26" s="65">
        <f t="shared" si="124"/>
        <v>0</v>
      </c>
      <c r="BO26" s="67">
        <f t="shared" si="125"/>
        <v>0</v>
      </c>
      <c r="BP26" s="65">
        <f t="shared" si="126"/>
        <v>0</v>
      </c>
      <c r="BQ26" s="65">
        <f t="shared" si="127"/>
        <v>591.23</v>
      </c>
      <c r="BR26" s="65">
        <f t="shared" si="128"/>
        <v>0</v>
      </c>
      <c r="BS26" s="65">
        <f t="shared" si="129"/>
        <v>591.23</v>
      </c>
      <c r="BT26" s="65">
        <f t="shared" si="130"/>
        <v>0</v>
      </c>
      <c r="BU26" s="65">
        <f t="shared" si="131"/>
        <v>0</v>
      </c>
      <c r="BV26" s="65">
        <f t="shared" si="132"/>
        <v>591.23</v>
      </c>
      <c r="BW26" s="65">
        <f t="shared" si="133"/>
        <v>591.23</v>
      </c>
      <c r="BX26" s="6"/>
      <c r="BY26" s="6"/>
      <c r="BZ26" s="6"/>
      <c r="CA26" s="6"/>
      <c r="CB26" s="6"/>
      <c r="CC26" s="6"/>
      <c r="CD26" s="6"/>
      <c r="CE26" s="6"/>
      <c r="CF26" s="6"/>
      <c r="CG26" s="6"/>
    </row>
    <row r="27" spans="1:85" ht="15.75" customHeight="1">
      <c r="A27" s="54"/>
      <c r="B27" s="102"/>
      <c r="C27" s="54" t="s">
        <v>95</v>
      </c>
      <c r="D27" s="106" t="s">
        <v>96</v>
      </c>
      <c r="E27" s="107">
        <v>500</v>
      </c>
      <c r="F27" s="108">
        <v>0</v>
      </c>
      <c r="G27" s="58">
        <f t="shared" si="117"/>
        <v>500</v>
      </c>
      <c r="H27" s="108">
        <v>0</v>
      </c>
      <c r="I27" s="59">
        <f t="shared" si="84"/>
        <v>0</v>
      </c>
      <c r="J27" s="59">
        <f t="shared" si="85"/>
        <v>0</v>
      </c>
      <c r="K27" s="74">
        <v>0</v>
      </c>
      <c r="L27" s="74">
        <v>0</v>
      </c>
      <c r="M27" s="74">
        <v>0</v>
      </c>
      <c r="N27" s="74">
        <v>0</v>
      </c>
      <c r="O27" s="109">
        <f t="shared" ref="O27:Q27" si="146">AA27+AD27+AG27+AJ27+AM27+AP27+AS27+AV27+AY27+BB27+BE27+BH27</f>
        <v>0</v>
      </c>
      <c r="P27" s="110">
        <f t="shared" si="146"/>
        <v>0</v>
      </c>
      <c r="Q27" s="110">
        <f t="shared" si="146"/>
        <v>0</v>
      </c>
      <c r="R27" s="110">
        <f t="shared" ref="R27:T27" si="147">IF(BK27=0,SUM(AA27+AD27+AG27+AJ27+AM27+AP27+AS27+AV27+AY27+BB27+BE27+BH27),BK27)</f>
        <v>0</v>
      </c>
      <c r="S27" s="110">
        <f t="shared" si="147"/>
        <v>0</v>
      </c>
      <c r="T27" s="110">
        <f t="shared" si="147"/>
        <v>0</v>
      </c>
      <c r="U27" s="109">
        <f t="shared" si="120"/>
        <v>0</v>
      </c>
      <c r="V27" s="63">
        <f t="shared" si="121"/>
        <v>0</v>
      </c>
      <c r="W27" s="109">
        <f t="shared" si="122"/>
        <v>0</v>
      </c>
      <c r="X27" s="64">
        <f t="shared" ref="X27:Y27" si="148">IF(O27&gt;0,O27/K27,0)</f>
        <v>0</v>
      </c>
      <c r="Y27" s="64">
        <f t="shared" si="148"/>
        <v>0</v>
      </c>
      <c r="Z27" s="64">
        <f t="shared" si="5"/>
        <v>0</v>
      </c>
      <c r="AA27" s="111"/>
      <c r="AB27" s="111"/>
      <c r="AC27" s="111"/>
      <c r="AD27" s="111"/>
      <c r="AE27" s="112"/>
      <c r="AF27" s="112"/>
      <c r="AG27" s="112"/>
      <c r="AH27" s="112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65">
        <v>0</v>
      </c>
      <c r="BL27" s="65">
        <v>0</v>
      </c>
      <c r="BM27" s="65">
        <v>0</v>
      </c>
      <c r="BN27" s="65">
        <f t="shared" si="124"/>
        <v>0</v>
      </c>
      <c r="BO27" s="67">
        <f t="shared" si="125"/>
        <v>0</v>
      </c>
      <c r="BP27" s="65">
        <f t="shared" si="126"/>
        <v>0</v>
      </c>
      <c r="BQ27" s="65">
        <f t="shared" si="127"/>
        <v>0</v>
      </c>
      <c r="BR27" s="65">
        <f t="shared" si="128"/>
        <v>0</v>
      </c>
      <c r="BS27" s="65">
        <f t="shared" si="129"/>
        <v>0</v>
      </c>
      <c r="BT27" s="65">
        <f t="shared" si="130"/>
        <v>0</v>
      </c>
      <c r="BU27" s="65">
        <f t="shared" si="131"/>
        <v>0</v>
      </c>
      <c r="BV27" s="65">
        <f t="shared" si="132"/>
        <v>0</v>
      </c>
      <c r="BW27" s="65">
        <f t="shared" si="133"/>
        <v>0</v>
      </c>
      <c r="BX27" s="6"/>
      <c r="BY27" s="6"/>
      <c r="BZ27" s="6"/>
      <c r="CA27" s="6"/>
      <c r="CB27" s="6"/>
      <c r="CC27" s="6"/>
      <c r="CD27" s="6"/>
      <c r="CE27" s="6"/>
      <c r="CF27" s="6"/>
      <c r="CG27" s="6"/>
    </row>
    <row r="28" spans="1:85" ht="15.75" customHeight="1">
      <c r="A28" s="104" t="s">
        <v>97</v>
      </c>
      <c r="B28" s="103"/>
      <c r="C28" s="68" t="s">
        <v>98</v>
      </c>
      <c r="D28" s="105" t="s">
        <v>99</v>
      </c>
      <c r="E28" s="56">
        <v>20000</v>
      </c>
      <c r="F28" s="57">
        <v>0</v>
      </c>
      <c r="G28" s="58">
        <f t="shared" si="117"/>
        <v>20000</v>
      </c>
      <c r="H28" s="57">
        <v>0</v>
      </c>
      <c r="I28" s="59">
        <f t="shared" si="84"/>
        <v>2.7E-2</v>
      </c>
      <c r="J28" s="59">
        <f t="shared" si="85"/>
        <v>2.7E-2</v>
      </c>
      <c r="K28" s="74">
        <f>540</f>
        <v>540</v>
      </c>
      <c r="L28" s="74">
        <v>0</v>
      </c>
      <c r="M28" s="74">
        <v>0</v>
      </c>
      <c r="N28" s="74">
        <v>0</v>
      </c>
      <c r="O28" s="63">
        <f t="shared" ref="O28:Q28" si="149">AA28+AD28+AG28+AJ28+AM28+AP28+AS28+AV28+AY28+BB28+BE28+BH28</f>
        <v>540</v>
      </c>
      <c r="P28" s="61">
        <f t="shared" si="149"/>
        <v>0</v>
      </c>
      <c r="Q28" s="61">
        <f t="shared" si="149"/>
        <v>0</v>
      </c>
      <c r="R28" s="61">
        <f t="shared" ref="R28:T28" si="150">IF(BK28=0,SUM(AA28+AD28+AG28+AJ28+AM28+AP28+AS28+AV28+AY28+BB28+BE28+BH28),BK28)</f>
        <v>540</v>
      </c>
      <c r="S28" s="61">
        <f t="shared" si="150"/>
        <v>0</v>
      </c>
      <c r="T28" s="61">
        <f t="shared" si="150"/>
        <v>0</v>
      </c>
      <c r="U28" s="63">
        <f t="shared" si="120"/>
        <v>0</v>
      </c>
      <c r="V28" s="63">
        <f t="shared" si="121"/>
        <v>0</v>
      </c>
      <c r="W28" s="63">
        <f t="shared" si="122"/>
        <v>0</v>
      </c>
      <c r="X28" s="64">
        <f t="shared" ref="X28:Y28" si="151">IF(O28&gt;0,O28/K28,0)</f>
        <v>1</v>
      </c>
      <c r="Y28" s="64">
        <f t="shared" si="151"/>
        <v>0</v>
      </c>
      <c r="Z28" s="64">
        <f t="shared" si="5"/>
        <v>0</v>
      </c>
      <c r="AA28" s="65"/>
      <c r="AB28" s="65"/>
      <c r="AC28" s="65"/>
      <c r="AD28" s="65"/>
      <c r="AE28" s="66"/>
      <c r="AF28" s="66"/>
      <c r="AG28" s="66"/>
      <c r="AH28" s="66"/>
      <c r="AI28" s="65"/>
      <c r="AJ28" s="100">
        <v>540</v>
      </c>
      <c r="AK28" s="65"/>
      <c r="AL28" s="65"/>
      <c r="AM28" s="65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>
        <v>0</v>
      </c>
      <c r="BL28" s="65">
        <v>0</v>
      </c>
      <c r="BM28" s="65">
        <v>0</v>
      </c>
      <c r="BN28" s="65">
        <f t="shared" si="124"/>
        <v>540</v>
      </c>
      <c r="BO28" s="67">
        <f t="shared" si="125"/>
        <v>0</v>
      </c>
      <c r="BP28" s="65">
        <f t="shared" si="126"/>
        <v>540</v>
      </c>
      <c r="BQ28" s="65">
        <f t="shared" si="127"/>
        <v>0</v>
      </c>
      <c r="BR28" s="65">
        <f t="shared" si="128"/>
        <v>0</v>
      </c>
      <c r="BS28" s="65">
        <f t="shared" si="129"/>
        <v>0</v>
      </c>
      <c r="BT28" s="65">
        <f t="shared" si="130"/>
        <v>0</v>
      </c>
      <c r="BU28" s="65">
        <f t="shared" si="131"/>
        <v>540</v>
      </c>
      <c r="BV28" s="65">
        <f t="shared" si="132"/>
        <v>0</v>
      </c>
      <c r="BW28" s="65">
        <f t="shared" si="133"/>
        <v>540</v>
      </c>
      <c r="BX28" s="6"/>
      <c r="BY28" s="6"/>
      <c r="BZ28" s="6"/>
      <c r="CA28" s="6"/>
      <c r="CB28" s="6"/>
      <c r="CC28" s="6"/>
      <c r="CD28" s="6"/>
      <c r="CE28" s="6"/>
      <c r="CF28" s="6"/>
      <c r="CG28" s="6"/>
    </row>
    <row r="29" spans="1:85" ht="15.75" customHeight="1">
      <c r="A29" s="104" t="s">
        <v>100</v>
      </c>
      <c r="B29" s="103"/>
      <c r="C29" s="68" t="s">
        <v>98</v>
      </c>
      <c r="D29" s="105" t="s">
        <v>101</v>
      </c>
      <c r="E29" s="56">
        <v>0</v>
      </c>
      <c r="F29" s="57">
        <v>0</v>
      </c>
      <c r="G29" s="58">
        <f t="shared" si="117"/>
        <v>0</v>
      </c>
      <c r="H29" s="57">
        <v>0</v>
      </c>
      <c r="I29" s="59">
        <f t="shared" si="84"/>
        <v>0</v>
      </c>
      <c r="J29" s="59">
        <f t="shared" si="85"/>
        <v>0</v>
      </c>
      <c r="K29" s="74">
        <v>434.4</v>
      </c>
      <c r="L29" s="74">
        <v>0</v>
      </c>
      <c r="M29" s="74">
        <v>0</v>
      </c>
      <c r="N29" s="74">
        <v>0</v>
      </c>
      <c r="O29" s="63">
        <f t="shared" ref="O29:Q29" si="152">AA29+AD29+AG29+AJ29+AM29+AP29+AS29+AV29+AY29+BB29+BE29+BH29</f>
        <v>434.4</v>
      </c>
      <c r="P29" s="61">
        <f t="shared" si="152"/>
        <v>0</v>
      </c>
      <c r="Q29" s="61">
        <f t="shared" si="152"/>
        <v>0</v>
      </c>
      <c r="R29" s="61">
        <f t="shared" ref="R29:T29" si="153">IF(BK29=0,SUM(AA29+AD29+AG29+AJ29+AM29+AP29+AS29+AV29+AY29+BB29+BE29+BH29),BK29)</f>
        <v>434.4</v>
      </c>
      <c r="S29" s="61">
        <f t="shared" si="153"/>
        <v>0</v>
      </c>
      <c r="T29" s="61">
        <f t="shared" si="153"/>
        <v>0</v>
      </c>
      <c r="U29" s="63">
        <f t="shared" si="120"/>
        <v>0</v>
      </c>
      <c r="V29" s="63">
        <f t="shared" si="121"/>
        <v>0</v>
      </c>
      <c r="W29" s="63">
        <f t="shared" si="122"/>
        <v>0</v>
      </c>
      <c r="X29" s="64">
        <f t="shared" ref="X29:Y29" si="154">IF(O29&gt;0,O29/K29,0)</f>
        <v>1</v>
      </c>
      <c r="Y29" s="64">
        <f t="shared" si="154"/>
        <v>0</v>
      </c>
      <c r="Z29" s="64">
        <f t="shared" si="5"/>
        <v>0</v>
      </c>
      <c r="AA29" s="65"/>
      <c r="AB29" s="65"/>
      <c r="AC29" s="65"/>
      <c r="AD29" s="65"/>
      <c r="AE29" s="66"/>
      <c r="AF29" s="66"/>
      <c r="AG29" s="66"/>
      <c r="AH29" s="66"/>
      <c r="AI29" s="65"/>
      <c r="AJ29" s="100">
        <v>434.4</v>
      </c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>
        <v>0</v>
      </c>
      <c r="BL29" s="65">
        <v>0</v>
      </c>
      <c r="BM29" s="65">
        <v>0</v>
      </c>
      <c r="BN29" s="65">
        <f t="shared" si="124"/>
        <v>434.4</v>
      </c>
      <c r="BO29" s="67">
        <f t="shared" si="125"/>
        <v>0</v>
      </c>
      <c r="BP29" s="65">
        <f t="shared" si="126"/>
        <v>434.4</v>
      </c>
      <c r="BQ29" s="65">
        <f t="shared" si="127"/>
        <v>0</v>
      </c>
      <c r="BR29" s="65">
        <f t="shared" si="128"/>
        <v>0</v>
      </c>
      <c r="BS29" s="65">
        <f t="shared" si="129"/>
        <v>0</v>
      </c>
      <c r="BT29" s="65">
        <f t="shared" si="130"/>
        <v>0</v>
      </c>
      <c r="BU29" s="65">
        <f t="shared" si="131"/>
        <v>434.4</v>
      </c>
      <c r="BV29" s="65">
        <f t="shared" si="132"/>
        <v>0</v>
      </c>
      <c r="BW29" s="65">
        <f t="shared" si="133"/>
        <v>434.4</v>
      </c>
      <c r="BX29" s="6"/>
      <c r="BY29" s="6"/>
      <c r="BZ29" s="6"/>
      <c r="CA29" s="6"/>
      <c r="CB29" s="6"/>
      <c r="CC29" s="6"/>
      <c r="CD29" s="6"/>
      <c r="CE29" s="6"/>
      <c r="CF29" s="6"/>
      <c r="CG29" s="6"/>
    </row>
    <row r="30" spans="1:85" ht="15.75" customHeight="1">
      <c r="A30" s="104" t="s">
        <v>102</v>
      </c>
      <c r="B30" s="103"/>
      <c r="C30" s="68" t="s">
        <v>98</v>
      </c>
      <c r="D30" s="105" t="s">
        <v>103</v>
      </c>
      <c r="E30" s="56">
        <v>0</v>
      </c>
      <c r="F30" s="57">
        <v>0</v>
      </c>
      <c r="G30" s="58">
        <f t="shared" si="117"/>
        <v>0</v>
      </c>
      <c r="H30" s="57">
        <v>0</v>
      </c>
      <c r="I30" s="59">
        <f t="shared" si="84"/>
        <v>0</v>
      </c>
      <c r="J30" s="59">
        <f t="shared" si="85"/>
        <v>0</v>
      </c>
      <c r="K30" s="74">
        <f>100</f>
        <v>100</v>
      </c>
      <c r="L30" s="74">
        <v>0</v>
      </c>
      <c r="M30" s="74">
        <v>0</v>
      </c>
      <c r="N30" s="74">
        <v>0</v>
      </c>
      <c r="O30" s="63">
        <f t="shared" ref="O30:Q30" si="155">AA30+AD30+AG30+AJ30+AM30+AP30+AS30+AV30+AY30+BB30+BE30+BH30</f>
        <v>100</v>
      </c>
      <c r="P30" s="61">
        <f t="shared" si="155"/>
        <v>0</v>
      </c>
      <c r="Q30" s="61">
        <f t="shared" si="155"/>
        <v>0</v>
      </c>
      <c r="R30" s="61">
        <f t="shared" ref="R30:T30" si="156">IF(BK30=0,SUM(AA30+AD30+AG30+AJ30+AM30+AP30+AS30+AV30+AY30+BB30+BE30+BH30),BK30)</f>
        <v>100</v>
      </c>
      <c r="S30" s="61">
        <f t="shared" si="156"/>
        <v>0</v>
      </c>
      <c r="T30" s="61">
        <f t="shared" si="156"/>
        <v>0</v>
      </c>
      <c r="U30" s="63">
        <f t="shared" si="120"/>
        <v>0</v>
      </c>
      <c r="V30" s="63">
        <f t="shared" si="121"/>
        <v>0</v>
      </c>
      <c r="W30" s="63">
        <f t="shared" si="122"/>
        <v>0</v>
      </c>
      <c r="X30" s="64">
        <f t="shared" ref="X30:Y30" si="157">IF(O30&gt;0,O30/K30,0)</f>
        <v>1</v>
      </c>
      <c r="Y30" s="64">
        <f t="shared" si="157"/>
        <v>0</v>
      </c>
      <c r="Z30" s="64">
        <f t="shared" si="5"/>
        <v>0</v>
      </c>
      <c r="AA30" s="65"/>
      <c r="AB30" s="65"/>
      <c r="AC30" s="65"/>
      <c r="AD30" s="65"/>
      <c r="AE30" s="66"/>
      <c r="AF30" s="66"/>
      <c r="AG30" s="66"/>
      <c r="AH30" s="66"/>
      <c r="AI30" s="65"/>
      <c r="AJ30" s="100">
        <v>100</v>
      </c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>
        <v>0</v>
      </c>
      <c r="BL30" s="65">
        <v>0</v>
      </c>
      <c r="BM30" s="65">
        <v>0</v>
      </c>
      <c r="BN30" s="65">
        <f t="shared" si="124"/>
        <v>100</v>
      </c>
      <c r="BO30" s="67">
        <f t="shared" si="125"/>
        <v>0</v>
      </c>
      <c r="BP30" s="65">
        <f t="shared" si="126"/>
        <v>100</v>
      </c>
      <c r="BQ30" s="65">
        <f t="shared" si="127"/>
        <v>0</v>
      </c>
      <c r="BR30" s="65">
        <f t="shared" si="128"/>
        <v>0</v>
      </c>
      <c r="BS30" s="65">
        <f t="shared" si="129"/>
        <v>0</v>
      </c>
      <c r="BT30" s="65">
        <f t="shared" si="130"/>
        <v>0</v>
      </c>
      <c r="BU30" s="65">
        <f t="shared" si="131"/>
        <v>100</v>
      </c>
      <c r="BV30" s="65">
        <f t="shared" si="132"/>
        <v>0</v>
      </c>
      <c r="BW30" s="65">
        <f t="shared" si="133"/>
        <v>100</v>
      </c>
      <c r="BX30" s="6"/>
      <c r="BY30" s="6"/>
      <c r="BZ30" s="6"/>
      <c r="CA30" s="6"/>
      <c r="CB30" s="6"/>
      <c r="CC30" s="6"/>
      <c r="CD30" s="6"/>
      <c r="CE30" s="6"/>
      <c r="CF30" s="6"/>
      <c r="CG30" s="6"/>
    </row>
    <row r="31" spans="1:85" ht="15.75" customHeight="1">
      <c r="A31" s="104" t="s">
        <v>104</v>
      </c>
      <c r="B31" s="103"/>
      <c r="C31" s="68" t="s">
        <v>98</v>
      </c>
      <c r="D31" s="105" t="s">
        <v>105</v>
      </c>
      <c r="E31" s="56">
        <v>0</v>
      </c>
      <c r="F31" s="57">
        <v>0</v>
      </c>
      <c r="G31" s="58">
        <f t="shared" si="117"/>
        <v>0</v>
      </c>
      <c r="H31" s="57">
        <v>0</v>
      </c>
      <c r="I31" s="59">
        <f t="shared" si="84"/>
        <v>0</v>
      </c>
      <c r="J31" s="59">
        <f t="shared" si="85"/>
        <v>0</v>
      </c>
      <c r="K31" s="74">
        <v>2057.4</v>
      </c>
      <c r="L31" s="74">
        <v>0</v>
      </c>
      <c r="M31" s="74">
        <v>0</v>
      </c>
      <c r="N31" s="74">
        <v>0</v>
      </c>
      <c r="O31" s="63">
        <f t="shared" ref="O31:Q31" si="158">AA31+AD31+AG31+AJ31+AM31+AP31+AS31+AV31+AY31+BB31+BE31+BH31</f>
        <v>2057.4</v>
      </c>
      <c r="P31" s="61">
        <f t="shared" si="158"/>
        <v>0</v>
      </c>
      <c r="Q31" s="61">
        <f t="shared" si="158"/>
        <v>0</v>
      </c>
      <c r="R31" s="61">
        <f t="shared" ref="R31:T31" si="159">IF(BK31=0,SUM(AA31+AD31+AG31+AJ31+AM31+AP31+AS31+AV31+AY31+BB31+BE31+BH31),BK31)</f>
        <v>2057.4</v>
      </c>
      <c r="S31" s="61">
        <f t="shared" si="159"/>
        <v>0</v>
      </c>
      <c r="T31" s="61">
        <f t="shared" si="159"/>
        <v>0</v>
      </c>
      <c r="U31" s="63">
        <f t="shared" si="120"/>
        <v>0</v>
      </c>
      <c r="V31" s="63">
        <f t="shared" si="121"/>
        <v>0</v>
      </c>
      <c r="W31" s="63">
        <f t="shared" si="122"/>
        <v>0</v>
      </c>
      <c r="X31" s="64">
        <f t="shared" ref="X31:Y31" si="160">IF(O31&gt;0,O31/K31,0)</f>
        <v>1</v>
      </c>
      <c r="Y31" s="64">
        <f t="shared" si="160"/>
        <v>0</v>
      </c>
      <c r="Z31" s="64">
        <f t="shared" si="5"/>
        <v>0</v>
      </c>
      <c r="AA31" s="65"/>
      <c r="AB31" s="65"/>
      <c r="AC31" s="65"/>
      <c r="AD31" s="65"/>
      <c r="AE31" s="66"/>
      <c r="AF31" s="66"/>
      <c r="AG31" s="66"/>
      <c r="AH31" s="66"/>
      <c r="AI31" s="65"/>
      <c r="AJ31" s="100">
        <v>2057.4</v>
      </c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>
        <v>0</v>
      </c>
      <c r="BL31" s="65">
        <v>0</v>
      </c>
      <c r="BM31" s="65">
        <v>0</v>
      </c>
      <c r="BN31" s="65">
        <f t="shared" si="124"/>
        <v>2057.4</v>
      </c>
      <c r="BO31" s="67">
        <f t="shared" si="125"/>
        <v>0</v>
      </c>
      <c r="BP31" s="65">
        <f t="shared" si="126"/>
        <v>2057.4</v>
      </c>
      <c r="BQ31" s="65">
        <f t="shared" si="127"/>
        <v>0</v>
      </c>
      <c r="BR31" s="65">
        <f t="shared" si="128"/>
        <v>0</v>
      </c>
      <c r="BS31" s="65">
        <f t="shared" si="129"/>
        <v>0</v>
      </c>
      <c r="BT31" s="65">
        <f t="shared" si="130"/>
        <v>0</v>
      </c>
      <c r="BU31" s="65">
        <f t="shared" si="131"/>
        <v>2057.4</v>
      </c>
      <c r="BV31" s="65">
        <f t="shared" si="132"/>
        <v>0</v>
      </c>
      <c r="BW31" s="65">
        <f t="shared" si="133"/>
        <v>2057.4</v>
      </c>
      <c r="BX31" s="6"/>
      <c r="BY31" s="6"/>
      <c r="BZ31" s="6"/>
      <c r="CA31" s="6"/>
      <c r="CB31" s="6"/>
      <c r="CC31" s="6"/>
      <c r="CD31" s="6"/>
      <c r="CE31" s="6"/>
      <c r="CF31" s="6"/>
      <c r="CG31" s="6"/>
    </row>
    <row r="32" spans="1:85" ht="15.75" customHeight="1">
      <c r="A32" s="104" t="s">
        <v>106</v>
      </c>
      <c r="B32" s="103"/>
      <c r="C32" s="68" t="s">
        <v>98</v>
      </c>
      <c r="D32" s="105" t="s">
        <v>107</v>
      </c>
      <c r="E32" s="56">
        <v>0</v>
      </c>
      <c r="F32" s="57">
        <v>0</v>
      </c>
      <c r="G32" s="58">
        <f t="shared" si="117"/>
        <v>0</v>
      </c>
      <c r="H32" s="57">
        <v>0</v>
      </c>
      <c r="I32" s="59">
        <f t="shared" si="84"/>
        <v>0</v>
      </c>
      <c r="J32" s="59">
        <f t="shared" si="85"/>
        <v>0</v>
      </c>
      <c r="K32" s="74">
        <v>143.84</v>
      </c>
      <c r="L32" s="74">
        <v>0</v>
      </c>
      <c r="M32" s="74">
        <v>0</v>
      </c>
      <c r="N32" s="74">
        <v>0</v>
      </c>
      <c r="O32" s="63">
        <f t="shared" ref="O32:Q32" si="161">AA32+AD32+AG32+AJ32+AM32+AP32+AS32+AV32+AY32+BB32+BE32+BH32</f>
        <v>0</v>
      </c>
      <c r="P32" s="61">
        <f t="shared" si="161"/>
        <v>0</v>
      </c>
      <c r="Q32" s="61">
        <f t="shared" si="161"/>
        <v>0</v>
      </c>
      <c r="R32" s="61">
        <f t="shared" ref="R32:T32" si="162">IF(BK32=0,SUM(AA32+AD32+AG32+AJ32+AM32+AP32+AS32+AV32+AY32+BB32+BE32+BH32),BK32)</f>
        <v>0</v>
      </c>
      <c r="S32" s="61">
        <f t="shared" si="162"/>
        <v>0</v>
      </c>
      <c r="T32" s="61">
        <f t="shared" si="162"/>
        <v>0</v>
      </c>
      <c r="U32" s="62">
        <f t="shared" si="120"/>
        <v>143.84</v>
      </c>
      <c r="V32" s="63">
        <f t="shared" si="121"/>
        <v>0</v>
      </c>
      <c r="W32" s="63">
        <f t="shared" si="122"/>
        <v>0</v>
      </c>
      <c r="X32" s="64">
        <f t="shared" ref="X32:Y32" si="163">IF(O32&gt;0,O32/K32,0)</f>
        <v>0</v>
      </c>
      <c r="Y32" s="64">
        <f t="shared" si="163"/>
        <v>0</v>
      </c>
      <c r="Z32" s="64">
        <f t="shared" si="5"/>
        <v>0</v>
      </c>
      <c r="AA32" s="65"/>
      <c r="AB32" s="65"/>
      <c r="AC32" s="65"/>
      <c r="AD32" s="65"/>
      <c r="AE32" s="66"/>
      <c r="AF32" s="66"/>
      <c r="AG32" s="66"/>
      <c r="AH32" s="66"/>
      <c r="AI32" s="65"/>
      <c r="AJ32" s="65"/>
      <c r="AK32" s="65"/>
      <c r="AL32" s="65"/>
      <c r="AM32" s="65"/>
      <c r="AN32" s="65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>
        <v>0</v>
      </c>
      <c r="BL32" s="65">
        <v>0</v>
      </c>
      <c r="BM32" s="65">
        <v>0</v>
      </c>
      <c r="BN32" s="65">
        <f t="shared" si="124"/>
        <v>0</v>
      </c>
      <c r="BO32" s="67">
        <f t="shared" si="125"/>
        <v>0</v>
      </c>
      <c r="BP32" s="65">
        <f t="shared" si="126"/>
        <v>0</v>
      </c>
      <c r="BQ32" s="65">
        <f t="shared" si="127"/>
        <v>143.84</v>
      </c>
      <c r="BR32" s="65">
        <f t="shared" si="128"/>
        <v>0</v>
      </c>
      <c r="BS32" s="65">
        <f t="shared" si="129"/>
        <v>143.84</v>
      </c>
      <c r="BT32" s="65">
        <f t="shared" si="130"/>
        <v>0</v>
      </c>
      <c r="BU32" s="65">
        <f t="shared" si="131"/>
        <v>0</v>
      </c>
      <c r="BV32" s="65">
        <f t="shared" si="132"/>
        <v>143.84</v>
      </c>
      <c r="BW32" s="65">
        <f t="shared" si="133"/>
        <v>143.84</v>
      </c>
      <c r="BX32" s="6"/>
      <c r="BY32" s="6"/>
      <c r="BZ32" s="6"/>
      <c r="CA32" s="6"/>
      <c r="CB32" s="6"/>
      <c r="CC32" s="6"/>
      <c r="CD32" s="6"/>
      <c r="CE32" s="6"/>
      <c r="CF32" s="6"/>
      <c r="CG32" s="6"/>
    </row>
    <row r="33" spans="1:85" ht="15.75" customHeight="1">
      <c r="A33" s="104" t="s">
        <v>108</v>
      </c>
      <c r="B33" s="103"/>
      <c r="C33" s="68" t="s">
        <v>98</v>
      </c>
      <c r="D33" s="105" t="s">
        <v>109</v>
      </c>
      <c r="E33" s="56">
        <v>0</v>
      </c>
      <c r="F33" s="57">
        <v>0</v>
      </c>
      <c r="G33" s="58">
        <f t="shared" si="117"/>
        <v>0</v>
      </c>
      <c r="H33" s="57">
        <v>0</v>
      </c>
      <c r="I33" s="59">
        <f t="shared" si="84"/>
        <v>0</v>
      </c>
      <c r="J33" s="59">
        <f t="shared" si="85"/>
        <v>0</v>
      </c>
      <c r="K33" s="74">
        <v>159</v>
      </c>
      <c r="L33" s="74">
        <v>0</v>
      </c>
      <c r="M33" s="74">
        <v>0</v>
      </c>
      <c r="N33" s="74">
        <v>0</v>
      </c>
      <c r="O33" s="63">
        <f t="shared" ref="O33:Q33" si="164">AA33+AD33+AG33+AJ33+AM33+AP33+AS33+AV33+AY33+BB33+BE33+BH33</f>
        <v>0</v>
      </c>
      <c r="P33" s="61">
        <f t="shared" si="164"/>
        <v>0</v>
      </c>
      <c r="Q33" s="61">
        <f t="shared" si="164"/>
        <v>0</v>
      </c>
      <c r="R33" s="61">
        <f t="shared" ref="R33:T33" si="165">IF(BK33=0,SUM(AA33+AD33+AG33+AJ33+AM33+AP33+AS33+AV33+AY33+BB33+BE33+BH33),BK33)</f>
        <v>0</v>
      </c>
      <c r="S33" s="61">
        <f t="shared" si="165"/>
        <v>0</v>
      </c>
      <c r="T33" s="61">
        <f t="shared" si="165"/>
        <v>0</v>
      </c>
      <c r="U33" s="62">
        <f t="shared" si="120"/>
        <v>159</v>
      </c>
      <c r="V33" s="63">
        <f t="shared" si="121"/>
        <v>0</v>
      </c>
      <c r="W33" s="63">
        <f t="shared" si="122"/>
        <v>0</v>
      </c>
      <c r="X33" s="64">
        <f t="shared" ref="X33:Y33" si="166">IF(O33&gt;0,O33/K33,0)</f>
        <v>0</v>
      </c>
      <c r="Y33" s="64">
        <f t="shared" si="166"/>
        <v>0</v>
      </c>
      <c r="Z33" s="64">
        <f t="shared" si="5"/>
        <v>0</v>
      </c>
      <c r="AA33" s="65"/>
      <c r="AB33" s="65"/>
      <c r="AC33" s="65"/>
      <c r="AD33" s="65"/>
      <c r="AE33" s="66"/>
      <c r="AF33" s="66"/>
      <c r="AG33" s="66"/>
      <c r="AH33" s="66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E33" s="65"/>
      <c r="BF33" s="65"/>
      <c r="BG33" s="65"/>
      <c r="BH33" s="65"/>
      <c r="BI33" s="65"/>
      <c r="BJ33" s="65"/>
      <c r="BK33" s="65">
        <v>0</v>
      </c>
      <c r="BL33" s="65">
        <v>0</v>
      </c>
      <c r="BM33" s="65">
        <v>0</v>
      </c>
      <c r="BN33" s="65">
        <f t="shared" si="124"/>
        <v>0</v>
      </c>
      <c r="BO33" s="67">
        <f t="shared" si="125"/>
        <v>0</v>
      </c>
      <c r="BP33" s="65">
        <f t="shared" si="126"/>
        <v>0</v>
      </c>
      <c r="BQ33" s="65">
        <f t="shared" si="127"/>
        <v>159</v>
      </c>
      <c r="BR33" s="65">
        <f t="shared" si="128"/>
        <v>0</v>
      </c>
      <c r="BS33" s="65">
        <f t="shared" si="129"/>
        <v>159</v>
      </c>
      <c r="BT33" s="65">
        <f t="shared" si="130"/>
        <v>0</v>
      </c>
      <c r="BU33" s="65">
        <f t="shared" si="131"/>
        <v>0</v>
      </c>
      <c r="BV33" s="65">
        <f t="shared" si="132"/>
        <v>159</v>
      </c>
      <c r="BW33" s="65">
        <f t="shared" si="133"/>
        <v>159</v>
      </c>
      <c r="BX33" s="6"/>
      <c r="BY33" s="6"/>
      <c r="BZ33" s="6"/>
      <c r="CA33" s="6"/>
      <c r="CB33" s="6"/>
      <c r="CC33" s="6"/>
      <c r="CD33" s="6"/>
      <c r="CE33" s="6"/>
      <c r="CF33" s="6"/>
      <c r="CG33" s="6"/>
    </row>
    <row r="34" spans="1:85" ht="15.75" customHeight="1">
      <c r="A34" s="68"/>
      <c r="B34" s="103"/>
      <c r="C34" s="68" t="s">
        <v>110</v>
      </c>
      <c r="D34" s="105" t="s">
        <v>111</v>
      </c>
      <c r="E34" s="56">
        <v>5000</v>
      </c>
      <c r="F34" s="57">
        <v>0</v>
      </c>
      <c r="G34" s="58">
        <f t="shared" si="117"/>
        <v>5000</v>
      </c>
      <c r="H34" s="57">
        <v>0</v>
      </c>
      <c r="I34" s="59">
        <f t="shared" si="84"/>
        <v>0</v>
      </c>
      <c r="J34" s="59">
        <f t="shared" si="85"/>
        <v>0</v>
      </c>
      <c r="K34" s="74">
        <v>0</v>
      </c>
      <c r="L34" s="74">
        <v>0</v>
      </c>
      <c r="M34" s="74">
        <v>0</v>
      </c>
      <c r="N34" s="74">
        <v>0</v>
      </c>
      <c r="O34" s="63">
        <f t="shared" ref="O34:Q34" si="167">AA34+AD34+AG34+AJ34+AM34+AP34+AS34+AV34+AY34+BB34+BE34+BH34</f>
        <v>0</v>
      </c>
      <c r="P34" s="61">
        <f t="shared" si="167"/>
        <v>0</v>
      </c>
      <c r="Q34" s="61">
        <f t="shared" si="167"/>
        <v>0</v>
      </c>
      <c r="R34" s="61">
        <f t="shared" ref="R34:T34" si="168">IF(BK34=0,SUM(AA34+AD34+AG34+AJ34+AM34+AP34+AS34+AV34+AY34+BB34+BE34+BH34),BK34)</f>
        <v>0</v>
      </c>
      <c r="S34" s="61">
        <f t="shared" si="168"/>
        <v>0</v>
      </c>
      <c r="T34" s="61">
        <f t="shared" si="168"/>
        <v>0</v>
      </c>
      <c r="U34" s="63">
        <f t="shared" si="120"/>
        <v>0</v>
      </c>
      <c r="V34" s="63">
        <f t="shared" si="121"/>
        <v>0</v>
      </c>
      <c r="W34" s="63">
        <f t="shared" si="122"/>
        <v>0</v>
      </c>
      <c r="X34" s="64">
        <f t="shared" ref="X34:Y34" si="169">IF(O34&gt;0,O34/K34,0)</f>
        <v>0</v>
      </c>
      <c r="Y34" s="64">
        <f t="shared" si="169"/>
        <v>0</v>
      </c>
      <c r="Z34" s="64">
        <f t="shared" si="5"/>
        <v>0</v>
      </c>
      <c r="AA34" s="65"/>
      <c r="AB34" s="65"/>
      <c r="AC34" s="65"/>
      <c r="AD34" s="65"/>
      <c r="AE34" s="66"/>
      <c r="AF34" s="66"/>
      <c r="AG34" s="66"/>
      <c r="AH34" s="66"/>
      <c r="AI34" s="65"/>
      <c r="AJ34" s="65"/>
      <c r="AK34" s="65"/>
      <c r="AL34" s="65"/>
      <c r="AM34" s="65"/>
      <c r="AN34" s="65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>
        <v>0</v>
      </c>
      <c r="BL34" s="65">
        <v>0</v>
      </c>
      <c r="BM34" s="65">
        <v>0</v>
      </c>
      <c r="BN34" s="65">
        <f t="shared" si="124"/>
        <v>0</v>
      </c>
      <c r="BO34" s="67">
        <f t="shared" si="125"/>
        <v>0</v>
      </c>
      <c r="BP34" s="65">
        <f t="shared" si="126"/>
        <v>0</v>
      </c>
      <c r="BQ34" s="65">
        <f t="shared" si="127"/>
        <v>0</v>
      </c>
      <c r="BR34" s="65">
        <f t="shared" si="128"/>
        <v>0</v>
      </c>
      <c r="BS34" s="65">
        <f t="shared" si="129"/>
        <v>0</v>
      </c>
      <c r="BT34" s="65">
        <f t="shared" si="130"/>
        <v>0</v>
      </c>
      <c r="BU34" s="65">
        <f t="shared" si="131"/>
        <v>0</v>
      </c>
      <c r="BV34" s="65">
        <f t="shared" si="132"/>
        <v>0</v>
      </c>
      <c r="BW34" s="65">
        <f t="shared" si="133"/>
        <v>0</v>
      </c>
      <c r="BX34" s="6"/>
      <c r="BY34" s="6"/>
      <c r="BZ34" s="6"/>
      <c r="CA34" s="6"/>
      <c r="CB34" s="6"/>
      <c r="CC34" s="6"/>
      <c r="CD34" s="6"/>
      <c r="CE34" s="6"/>
      <c r="CF34" s="6"/>
      <c r="CG34" s="6"/>
    </row>
    <row r="35" spans="1:85" ht="15.75" customHeight="1">
      <c r="A35" s="52" t="s">
        <v>112</v>
      </c>
      <c r="B35" s="103"/>
      <c r="C35" s="68" t="s">
        <v>113</v>
      </c>
      <c r="D35" s="70" t="s">
        <v>114</v>
      </c>
      <c r="E35" s="56">
        <v>60000</v>
      </c>
      <c r="F35" s="57">
        <v>0</v>
      </c>
      <c r="G35" s="58">
        <f t="shared" si="117"/>
        <v>60000</v>
      </c>
      <c r="H35" s="57">
        <v>0</v>
      </c>
      <c r="I35" s="59">
        <f t="shared" si="84"/>
        <v>0.45647633333333332</v>
      </c>
      <c r="J35" s="59">
        <f t="shared" si="85"/>
        <v>0.4397855</v>
      </c>
      <c r="K35" s="74">
        <f>14998.13+3999.5+6399.2+1991.75</f>
        <v>27388.579999999998</v>
      </c>
      <c r="L35" s="74">
        <v>0</v>
      </c>
      <c r="M35" s="74">
        <v>0</v>
      </c>
      <c r="N35" s="74">
        <v>0</v>
      </c>
      <c r="O35" s="63">
        <f t="shared" ref="O35:Q35" si="170">AA35+AD35+AG35+AJ35+AM35+AP35+AS35+AV35+AY35+BB35+BE35+BH35</f>
        <v>26387.13</v>
      </c>
      <c r="P35" s="61">
        <f t="shared" si="170"/>
        <v>0</v>
      </c>
      <c r="Q35" s="61">
        <f t="shared" si="170"/>
        <v>0</v>
      </c>
      <c r="R35" s="61">
        <f t="shared" ref="R35:T35" si="171">IF(BK35=0,SUM(AA35+AD35+AG35+AJ35+AM35+AP35+AS35+AV35+AY35+BB35+BE35+BH35),BK35)</f>
        <v>26387.13</v>
      </c>
      <c r="S35" s="61">
        <f t="shared" si="171"/>
        <v>0</v>
      </c>
      <c r="T35" s="61">
        <f t="shared" si="171"/>
        <v>0</v>
      </c>
      <c r="U35" s="62">
        <f t="shared" si="120"/>
        <v>1001.4499999999971</v>
      </c>
      <c r="V35" s="63">
        <f t="shared" si="121"/>
        <v>0</v>
      </c>
      <c r="W35" s="63">
        <f t="shared" si="122"/>
        <v>0</v>
      </c>
      <c r="X35" s="64">
        <f t="shared" ref="X35:Y35" si="172">IF(O35&gt;0,O35/K35,0)</f>
        <v>0.9634354902663812</v>
      </c>
      <c r="Y35" s="64">
        <f t="shared" si="172"/>
        <v>0</v>
      </c>
      <c r="Z35" s="64">
        <f t="shared" si="5"/>
        <v>0</v>
      </c>
      <c r="AA35" s="65"/>
      <c r="AB35" s="65"/>
      <c r="AC35" s="65"/>
      <c r="AD35" s="65">
        <f>4043.7+6944.41+4010.02</f>
        <v>14998.130000000001</v>
      </c>
      <c r="AE35" s="66"/>
      <c r="AF35" s="66"/>
      <c r="AG35" s="66">
        <f>3999.5</f>
        <v>3999.5</v>
      </c>
      <c r="AH35" s="66"/>
      <c r="AI35" s="65"/>
      <c r="AJ35" s="65"/>
      <c r="AK35" s="65"/>
      <c r="AL35" s="65"/>
      <c r="AM35" s="65"/>
      <c r="AN35" s="65"/>
      <c r="AO35" s="65"/>
      <c r="AP35" s="65">
        <f>2726+4663.5</f>
        <v>7389.5</v>
      </c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65"/>
      <c r="BD35" s="65"/>
      <c r="BE35" s="65"/>
      <c r="BF35" s="65"/>
      <c r="BG35" s="65"/>
      <c r="BH35" s="65"/>
      <c r="BI35" s="65"/>
      <c r="BJ35" s="65"/>
      <c r="BK35" s="65">
        <v>0</v>
      </c>
      <c r="BL35" s="65">
        <v>0</v>
      </c>
      <c r="BM35" s="65">
        <v>0</v>
      </c>
      <c r="BN35" s="65">
        <f t="shared" si="124"/>
        <v>26387.13</v>
      </c>
      <c r="BO35" s="67">
        <f t="shared" si="125"/>
        <v>0</v>
      </c>
      <c r="BP35" s="65">
        <f t="shared" si="126"/>
        <v>26387.13</v>
      </c>
      <c r="BQ35" s="65">
        <f t="shared" si="127"/>
        <v>1001.4499999999971</v>
      </c>
      <c r="BR35" s="65">
        <f t="shared" si="128"/>
        <v>0</v>
      </c>
      <c r="BS35" s="65">
        <f t="shared" si="129"/>
        <v>1001.4499999999971</v>
      </c>
      <c r="BT35" s="65">
        <f t="shared" si="130"/>
        <v>0</v>
      </c>
      <c r="BU35" s="65">
        <f t="shared" si="131"/>
        <v>26387.13</v>
      </c>
      <c r="BV35" s="65">
        <f t="shared" si="132"/>
        <v>1001.4499999999971</v>
      </c>
      <c r="BW35" s="65">
        <f t="shared" si="133"/>
        <v>27388.579999999998</v>
      </c>
      <c r="BX35" s="6"/>
      <c r="BY35" s="6"/>
      <c r="BZ35" s="6"/>
      <c r="CA35" s="6"/>
      <c r="CB35" s="6"/>
      <c r="CC35" s="6"/>
      <c r="CD35" s="6"/>
      <c r="CE35" s="6"/>
      <c r="CF35" s="6"/>
      <c r="CG35" s="6"/>
    </row>
    <row r="36" spans="1:85" ht="31.5">
      <c r="A36" s="52" t="s">
        <v>115</v>
      </c>
      <c r="B36" s="103"/>
      <c r="C36" s="68" t="s">
        <v>113</v>
      </c>
      <c r="D36" s="105" t="s">
        <v>116</v>
      </c>
      <c r="E36" s="56">
        <v>0</v>
      </c>
      <c r="F36" s="57">
        <v>0</v>
      </c>
      <c r="G36" s="58">
        <f t="shared" si="117"/>
        <v>0</v>
      </c>
      <c r="H36" s="57">
        <v>0</v>
      </c>
      <c r="I36" s="59">
        <f t="shared" si="84"/>
        <v>0</v>
      </c>
      <c r="J36" s="59">
        <f t="shared" si="85"/>
        <v>0</v>
      </c>
      <c r="K36" s="74">
        <v>10000.42</v>
      </c>
      <c r="L36" s="74">
        <v>0</v>
      </c>
      <c r="M36" s="74">
        <v>0</v>
      </c>
      <c r="N36" s="74">
        <v>0</v>
      </c>
      <c r="O36" s="63">
        <f t="shared" ref="O36:Q36" si="173">AA36+AD36+AG36+AJ36+AM36+AP36+AS36+AV36+AY36+BB36+BE36+BH36</f>
        <v>0</v>
      </c>
      <c r="P36" s="61">
        <f t="shared" si="173"/>
        <v>0</v>
      </c>
      <c r="Q36" s="61">
        <f t="shared" si="173"/>
        <v>0</v>
      </c>
      <c r="R36" s="61">
        <f t="shared" ref="R36:T36" si="174">IF(BK36=0,SUM(AA36+AD36+AG36+AJ36+AM36+AP36+AS36+AV36+AY36+BB36+BE36+BH36),BK36)</f>
        <v>0</v>
      </c>
      <c r="S36" s="61">
        <f t="shared" si="174"/>
        <v>0</v>
      </c>
      <c r="T36" s="61">
        <f t="shared" si="174"/>
        <v>0</v>
      </c>
      <c r="U36" s="62">
        <f t="shared" si="120"/>
        <v>10000.42</v>
      </c>
      <c r="V36" s="63">
        <f t="shared" si="121"/>
        <v>0</v>
      </c>
      <c r="W36" s="63">
        <f t="shared" si="122"/>
        <v>0</v>
      </c>
      <c r="X36" s="64">
        <f t="shared" ref="X36:Y36" si="175">IF(O36&gt;0,O36/K36,0)</f>
        <v>0</v>
      </c>
      <c r="Y36" s="64">
        <f t="shared" si="175"/>
        <v>0</v>
      </c>
      <c r="Z36" s="64">
        <f t="shared" si="5"/>
        <v>0</v>
      </c>
      <c r="AA36" s="65"/>
      <c r="AB36" s="65"/>
      <c r="AC36" s="65"/>
      <c r="AD36" s="65"/>
      <c r="AE36" s="66"/>
      <c r="AF36" s="66"/>
      <c r="AG36" s="66"/>
      <c r="AH36" s="66"/>
      <c r="AI36" s="65"/>
      <c r="AJ36" s="65"/>
      <c r="AK36" s="65"/>
      <c r="AL36" s="65"/>
      <c r="AM36" s="100"/>
      <c r="AN36" s="65"/>
      <c r="AO36" s="65"/>
      <c r="AP36" s="65"/>
      <c r="AQ36" s="65"/>
      <c r="AR36" s="65"/>
      <c r="AS36" s="65"/>
      <c r="AT36" s="65"/>
      <c r="AU36" s="65"/>
      <c r="AV36" s="65"/>
      <c r="AW36" s="65"/>
      <c r="AX36" s="65"/>
      <c r="AY36" s="65"/>
      <c r="AZ36" s="65"/>
      <c r="BA36" s="65"/>
      <c r="BB36" s="65"/>
      <c r="BC36" s="65"/>
      <c r="BD36" s="65"/>
      <c r="BE36" s="65"/>
      <c r="BF36" s="65"/>
      <c r="BG36" s="65"/>
      <c r="BH36" s="65"/>
      <c r="BI36" s="65"/>
      <c r="BJ36" s="65"/>
      <c r="BK36" s="65">
        <v>0</v>
      </c>
      <c r="BL36" s="65">
        <v>0</v>
      </c>
      <c r="BM36" s="65">
        <v>0</v>
      </c>
      <c r="BN36" s="65">
        <f t="shared" si="124"/>
        <v>0</v>
      </c>
      <c r="BO36" s="67">
        <f t="shared" si="125"/>
        <v>0</v>
      </c>
      <c r="BP36" s="65">
        <f t="shared" si="126"/>
        <v>0</v>
      </c>
      <c r="BQ36" s="65">
        <f t="shared" si="127"/>
        <v>10000.42</v>
      </c>
      <c r="BR36" s="65">
        <f t="shared" si="128"/>
        <v>0</v>
      </c>
      <c r="BS36" s="65">
        <f t="shared" si="129"/>
        <v>10000.42</v>
      </c>
      <c r="BT36" s="65">
        <f t="shared" si="130"/>
        <v>0</v>
      </c>
      <c r="BU36" s="65">
        <f t="shared" si="131"/>
        <v>0</v>
      </c>
      <c r="BV36" s="65">
        <f t="shared" si="132"/>
        <v>10000.42</v>
      </c>
      <c r="BW36" s="65">
        <f t="shared" si="133"/>
        <v>10000.42</v>
      </c>
      <c r="BX36" s="6"/>
      <c r="BY36" s="6"/>
      <c r="BZ36" s="6"/>
      <c r="CA36" s="6"/>
      <c r="CB36" s="6"/>
      <c r="CC36" s="6"/>
      <c r="CD36" s="6"/>
      <c r="CE36" s="6"/>
      <c r="CF36" s="6"/>
      <c r="CG36" s="6"/>
    </row>
    <row r="37" spans="1:85" ht="31.5">
      <c r="A37" s="52" t="s">
        <v>117</v>
      </c>
      <c r="B37" s="103"/>
      <c r="C37" s="68" t="s">
        <v>113</v>
      </c>
      <c r="D37" s="105" t="s">
        <v>118</v>
      </c>
      <c r="E37" s="56">
        <v>0</v>
      </c>
      <c r="F37" s="57">
        <v>0</v>
      </c>
      <c r="G37" s="58">
        <f t="shared" si="117"/>
        <v>0</v>
      </c>
      <c r="H37" s="57">
        <v>0</v>
      </c>
      <c r="I37" s="59">
        <f t="shared" si="84"/>
        <v>0</v>
      </c>
      <c r="J37" s="59">
        <f t="shared" si="85"/>
        <v>0</v>
      </c>
      <c r="K37" s="74">
        <f>3999.5+6399.2</f>
        <v>10398.700000000001</v>
      </c>
      <c r="L37" s="74">
        <v>0</v>
      </c>
      <c r="M37" s="74">
        <v>0</v>
      </c>
      <c r="N37" s="74">
        <v>0</v>
      </c>
      <c r="O37" s="63">
        <f t="shared" ref="O37:Q37" si="176">AA37+AD37+AG37+AJ37+AM37+AP37+AS37+AV37+AY37+BB37+BE37+BH37</f>
        <v>9471.26</v>
      </c>
      <c r="P37" s="61">
        <f t="shared" si="176"/>
        <v>0</v>
      </c>
      <c r="Q37" s="61">
        <f t="shared" si="176"/>
        <v>0</v>
      </c>
      <c r="R37" s="61">
        <f t="shared" ref="R37:T37" si="177">IF(BK37=0,SUM(AA37+AD37+AG37+AJ37+AM37+AP37+AS37+AV37+AY37+BB37+BE37+BH37),BK37)</f>
        <v>9471.26</v>
      </c>
      <c r="S37" s="61">
        <f t="shared" si="177"/>
        <v>0</v>
      </c>
      <c r="T37" s="61">
        <f t="shared" si="177"/>
        <v>0</v>
      </c>
      <c r="U37" s="62">
        <f t="shared" si="120"/>
        <v>927.44000000000051</v>
      </c>
      <c r="V37" s="63">
        <f t="shared" si="121"/>
        <v>0</v>
      </c>
      <c r="W37" s="63">
        <f t="shared" si="122"/>
        <v>0</v>
      </c>
      <c r="X37" s="64">
        <f t="shared" ref="X37:Y37" si="178">IF(O37&gt;0,O37/K37,0)</f>
        <v>0.91081192841412861</v>
      </c>
      <c r="Y37" s="64">
        <f t="shared" si="178"/>
        <v>0</v>
      </c>
      <c r="Z37" s="64">
        <f t="shared" si="5"/>
        <v>0</v>
      </c>
      <c r="AA37" s="65"/>
      <c r="AB37" s="65"/>
      <c r="AC37" s="65"/>
      <c r="AD37" s="65"/>
      <c r="AE37" s="66"/>
      <c r="AF37" s="66"/>
      <c r="AG37" s="66"/>
      <c r="AH37" s="66"/>
      <c r="AI37" s="65"/>
      <c r="AJ37" s="65"/>
      <c r="AK37" s="65"/>
      <c r="AL37" s="65"/>
      <c r="AM37" s="100">
        <v>9471.26</v>
      </c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/>
      <c r="BB37" s="65"/>
      <c r="BC37" s="65"/>
      <c r="BD37" s="65"/>
      <c r="BE37" s="65"/>
      <c r="BF37" s="65"/>
      <c r="BG37" s="65"/>
      <c r="BH37" s="65"/>
      <c r="BI37" s="65"/>
      <c r="BJ37" s="65"/>
      <c r="BK37" s="65">
        <v>0</v>
      </c>
      <c r="BL37" s="65">
        <v>0</v>
      </c>
      <c r="BM37" s="65">
        <v>0</v>
      </c>
      <c r="BN37" s="65">
        <f t="shared" si="124"/>
        <v>9471.26</v>
      </c>
      <c r="BO37" s="67">
        <f t="shared" si="125"/>
        <v>0</v>
      </c>
      <c r="BP37" s="65">
        <f t="shared" si="126"/>
        <v>9471.26</v>
      </c>
      <c r="BQ37" s="65">
        <f t="shared" si="127"/>
        <v>927.44000000000051</v>
      </c>
      <c r="BR37" s="65">
        <f t="shared" si="128"/>
        <v>0</v>
      </c>
      <c r="BS37" s="65">
        <f t="shared" si="129"/>
        <v>927.44000000000051</v>
      </c>
      <c r="BT37" s="65">
        <f t="shared" si="130"/>
        <v>0</v>
      </c>
      <c r="BU37" s="65">
        <f t="shared" si="131"/>
        <v>9471.26</v>
      </c>
      <c r="BV37" s="65">
        <f t="shared" si="132"/>
        <v>927.44000000000051</v>
      </c>
      <c r="BW37" s="65">
        <f t="shared" si="133"/>
        <v>10398.700000000001</v>
      </c>
      <c r="BX37" s="6"/>
      <c r="BY37" s="6"/>
      <c r="BZ37" s="6"/>
      <c r="CA37" s="6"/>
      <c r="CB37" s="6"/>
      <c r="CC37" s="6"/>
      <c r="CD37" s="6"/>
      <c r="CE37" s="6"/>
      <c r="CF37" s="6"/>
      <c r="CG37" s="6"/>
    </row>
    <row r="38" spans="1:85" ht="15.75" customHeight="1">
      <c r="A38" s="52" t="s">
        <v>119</v>
      </c>
      <c r="B38" s="103"/>
      <c r="C38" s="68" t="s">
        <v>113</v>
      </c>
      <c r="D38" s="105" t="s">
        <v>120</v>
      </c>
      <c r="E38" s="56">
        <v>0</v>
      </c>
      <c r="F38" s="57">
        <v>0</v>
      </c>
      <c r="G38" s="58">
        <f t="shared" si="117"/>
        <v>0</v>
      </c>
      <c r="H38" s="57">
        <v>0</v>
      </c>
      <c r="I38" s="59">
        <f t="shared" si="84"/>
        <v>0</v>
      </c>
      <c r="J38" s="59">
        <f t="shared" si="85"/>
        <v>0</v>
      </c>
      <c r="K38" s="74">
        <v>1597.82</v>
      </c>
      <c r="L38" s="74">
        <v>0</v>
      </c>
      <c r="M38" s="74">
        <v>0</v>
      </c>
      <c r="N38" s="74">
        <v>0</v>
      </c>
      <c r="O38" s="63">
        <f t="shared" ref="O38:Q38" si="179">AA38+AD38+AG38+AJ38+AM38+AP38+AS38+AV38+AY38+BB38+BE38+BH38</f>
        <v>1597.82</v>
      </c>
      <c r="P38" s="61">
        <f t="shared" si="179"/>
        <v>0</v>
      </c>
      <c r="Q38" s="61">
        <f t="shared" si="179"/>
        <v>0</v>
      </c>
      <c r="R38" s="61">
        <f t="shared" ref="R38:T38" si="180">IF(BK38=0,SUM(AA38+AD38+AG38+AJ38+AM38+AP38+AS38+AV38+AY38+BB38+BE38+BH38),BK38)</f>
        <v>1597.82</v>
      </c>
      <c r="S38" s="61">
        <f t="shared" si="180"/>
        <v>0</v>
      </c>
      <c r="T38" s="61">
        <f t="shared" si="180"/>
        <v>0</v>
      </c>
      <c r="U38" s="63">
        <f t="shared" si="120"/>
        <v>0</v>
      </c>
      <c r="V38" s="63">
        <f t="shared" si="121"/>
        <v>0</v>
      </c>
      <c r="W38" s="63">
        <f t="shared" si="122"/>
        <v>0</v>
      </c>
      <c r="X38" s="64"/>
      <c r="Y38" s="64"/>
      <c r="Z38" s="64"/>
      <c r="AA38" s="65"/>
      <c r="AB38" s="65"/>
      <c r="AC38" s="65"/>
      <c r="AD38" s="65"/>
      <c r="AE38" s="66"/>
      <c r="AF38" s="66"/>
      <c r="AG38" s="66"/>
      <c r="AH38" s="66"/>
      <c r="AI38" s="65"/>
      <c r="AJ38" s="65"/>
      <c r="AK38" s="65"/>
      <c r="AL38" s="65"/>
      <c r="AM38" s="65"/>
      <c r="AN38" s="65"/>
      <c r="AO38" s="65"/>
      <c r="AP38" s="65">
        <f>1597.82</f>
        <v>1597.82</v>
      </c>
      <c r="AQ38" s="65"/>
      <c r="AR38" s="65"/>
      <c r="AS38" s="65"/>
      <c r="AT38" s="65"/>
      <c r="AU38" s="65"/>
      <c r="AV38" s="65"/>
      <c r="AW38" s="65"/>
      <c r="AX38" s="65"/>
      <c r="AY38" s="65"/>
      <c r="AZ38" s="65"/>
      <c r="BA38" s="65"/>
      <c r="BB38" s="65"/>
      <c r="BC38" s="65"/>
      <c r="BD38" s="65"/>
      <c r="BE38" s="65"/>
      <c r="BF38" s="65"/>
      <c r="BG38" s="65"/>
      <c r="BH38" s="65"/>
      <c r="BI38" s="65"/>
      <c r="BJ38" s="65"/>
      <c r="BK38" s="65">
        <v>0</v>
      </c>
      <c r="BL38" s="65">
        <v>0</v>
      </c>
      <c r="BM38" s="65">
        <v>0</v>
      </c>
      <c r="BN38" s="65">
        <f t="shared" si="124"/>
        <v>1597.82</v>
      </c>
      <c r="BO38" s="67">
        <f t="shared" si="125"/>
        <v>0</v>
      </c>
      <c r="BP38" s="65">
        <f t="shared" si="126"/>
        <v>1597.82</v>
      </c>
      <c r="BQ38" s="65">
        <f t="shared" si="127"/>
        <v>0</v>
      </c>
      <c r="BR38" s="65">
        <f t="shared" si="128"/>
        <v>0</v>
      </c>
      <c r="BS38" s="65">
        <f t="shared" si="129"/>
        <v>0</v>
      </c>
      <c r="BT38" s="65">
        <f t="shared" si="130"/>
        <v>0</v>
      </c>
      <c r="BU38" s="65">
        <f t="shared" si="131"/>
        <v>1597.82</v>
      </c>
      <c r="BV38" s="65">
        <f t="shared" si="132"/>
        <v>0</v>
      </c>
      <c r="BW38" s="65">
        <f t="shared" si="133"/>
        <v>1597.82</v>
      </c>
      <c r="BX38" s="6"/>
      <c r="BY38" s="6"/>
      <c r="BZ38" s="6"/>
      <c r="CA38" s="6"/>
      <c r="CB38" s="6"/>
      <c r="CC38" s="6"/>
      <c r="CD38" s="6"/>
      <c r="CE38" s="6"/>
      <c r="CF38" s="6"/>
      <c r="CG38" s="6"/>
    </row>
    <row r="39" spans="1:85" ht="15.75" customHeight="1">
      <c r="A39" s="52" t="s">
        <v>121</v>
      </c>
      <c r="B39" s="103"/>
      <c r="C39" s="68" t="s">
        <v>113</v>
      </c>
      <c r="D39" s="105" t="s">
        <v>122</v>
      </c>
      <c r="E39" s="56">
        <v>0</v>
      </c>
      <c r="F39" s="57">
        <v>0</v>
      </c>
      <c r="G39" s="58">
        <f t="shared" si="117"/>
        <v>0</v>
      </c>
      <c r="H39" s="57">
        <v>0</v>
      </c>
      <c r="I39" s="59">
        <f t="shared" si="84"/>
        <v>0</v>
      </c>
      <c r="J39" s="59">
        <f t="shared" si="85"/>
        <v>0</v>
      </c>
      <c r="K39" s="74">
        <v>3648</v>
      </c>
      <c r="L39" s="74">
        <v>0</v>
      </c>
      <c r="M39" s="74">
        <v>0</v>
      </c>
      <c r="N39" s="74">
        <v>0</v>
      </c>
      <c r="O39" s="63">
        <f t="shared" ref="O39:Q39" si="181">AA39+AD39+AG39+AJ39+AM39+AP39+AS39+AV39+AY39+BB39+BE39+BH39</f>
        <v>3648</v>
      </c>
      <c r="P39" s="61">
        <f t="shared" si="181"/>
        <v>0</v>
      </c>
      <c r="Q39" s="61">
        <f t="shared" si="181"/>
        <v>0</v>
      </c>
      <c r="R39" s="61">
        <f t="shared" ref="R39:T39" si="182">IF(BK39=0,SUM(AA39+AD39+AG39+AJ39+AM39+AP39+AS39+AV39+AY39+BB39+BE39+BH39),BK39)</f>
        <v>3648</v>
      </c>
      <c r="S39" s="61">
        <f t="shared" si="182"/>
        <v>0</v>
      </c>
      <c r="T39" s="61">
        <f t="shared" si="182"/>
        <v>0</v>
      </c>
      <c r="U39" s="63">
        <f t="shared" si="120"/>
        <v>0</v>
      </c>
      <c r="V39" s="63">
        <f t="shared" si="121"/>
        <v>0</v>
      </c>
      <c r="W39" s="63">
        <f t="shared" si="122"/>
        <v>0</v>
      </c>
      <c r="X39" s="64"/>
      <c r="Y39" s="64"/>
      <c r="Z39" s="64"/>
      <c r="AA39" s="65"/>
      <c r="AB39" s="65"/>
      <c r="AC39" s="65"/>
      <c r="AD39" s="65"/>
      <c r="AE39" s="66"/>
      <c r="AF39" s="66"/>
      <c r="AG39" s="66"/>
      <c r="AH39" s="66"/>
      <c r="AI39" s="65"/>
      <c r="AJ39" s="65"/>
      <c r="AK39" s="65"/>
      <c r="AL39" s="65"/>
      <c r="AM39" s="65"/>
      <c r="AN39" s="65"/>
      <c r="AO39" s="65"/>
      <c r="AP39" s="65">
        <f>3648</f>
        <v>3648</v>
      </c>
      <c r="AQ39" s="65"/>
      <c r="AR39" s="65"/>
      <c r="AS39" s="65"/>
      <c r="AT39" s="65"/>
      <c r="AU39" s="65"/>
      <c r="AV39" s="65"/>
      <c r="AW39" s="65"/>
      <c r="AX39" s="65"/>
      <c r="AY39" s="65"/>
      <c r="AZ39" s="65"/>
      <c r="BA39" s="65"/>
      <c r="BB39" s="65"/>
      <c r="BC39" s="65"/>
      <c r="BD39" s="65"/>
      <c r="BE39" s="65"/>
      <c r="BF39" s="65"/>
      <c r="BG39" s="65"/>
      <c r="BH39" s="65"/>
      <c r="BI39" s="65"/>
      <c r="BJ39" s="65"/>
      <c r="BK39" s="65">
        <v>0</v>
      </c>
      <c r="BL39" s="65">
        <v>0</v>
      </c>
      <c r="BM39" s="65">
        <v>0</v>
      </c>
      <c r="BN39" s="65">
        <f t="shared" si="124"/>
        <v>3648</v>
      </c>
      <c r="BO39" s="67">
        <f t="shared" si="125"/>
        <v>0</v>
      </c>
      <c r="BP39" s="65">
        <f t="shared" si="126"/>
        <v>3648</v>
      </c>
      <c r="BQ39" s="65">
        <f t="shared" si="127"/>
        <v>0</v>
      </c>
      <c r="BR39" s="65">
        <f t="shared" si="128"/>
        <v>0</v>
      </c>
      <c r="BS39" s="65">
        <f t="shared" si="129"/>
        <v>0</v>
      </c>
      <c r="BT39" s="65">
        <f t="shared" si="130"/>
        <v>0</v>
      </c>
      <c r="BU39" s="65">
        <f t="shared" si="131"/>
        <v>3648</v>
      </c>
      <c r="BV39" s="65">
        <f t="shared" si="132"/>
        <v>0</v>
      </c>
      <c r="BW39" s="65">
        <f t="shared" si="133"/>
        <v>3648</v>
      </c>
      <c r="BX39" s="6"/>
      <c r="BY39" s="6"/>
      <c r="BZ39" s="6"/>
      <c r="CA39" s="6"/>
      <c r="CB39" s="6"/>
      <c r="CC39" s="6"/>
      <c r="CD39" s="6"/>
      <c r="CE39" s="6"/>
      <c r="CF39" s="6"/>
      <c r="CG39" s="6"/>
    </row>
    <row r="40" spans="1:85" ht="15.75" customHeight="1">
      <c r="A40" s="68"/>
      <c r="B40" s="103"/>
      <c r="C40" s="68" t="s">
        <v>123</v>
      </c>
      <c r="D40" s="70" t="s">
        <v>124</v>
      </c>
      <c r="E40" s="56">
        <v>5000</v>
      </c>
      <c r="F40" s="57">
        <v>0</v>
      </c>
      <c r="G40" s="58">
        <f t="shared" si="117"/>
        <v>5000</v>
      </c>
      <c r="H40" s="57">
        <v>0</v>
      </c>
      <c r="I40" s="59">
        <f t="shared" si="84"/>
        <v>0</v>
      </c>
      <c r="J40" s="59">
        <f t="shared" si="85"/>
        <v>0</v>
      </c>
      <c r="K40" s="74">
        <v>0</v>
      </c>
      <c r="L40" s="74">
        <v>0</v>
      </c>
      <c r="M40" s="74">
        <v>0</v>
      </c>
      <c r="N40" s="74">
        <v>0</v>
      </c>
      <c r="O40" s="63">
        <f t="shared" ref="O40:Q40" si="183">AA40+AD40+AG40+AJ40+AM40+AP40+AS40+AV40+AY40+BB40+BE40+BH40</f>
        <v>0</v>
      </c>
      <c r="P40" s="61">
        <f t="shared" si="183"/>
        <v>0</v>
      </c>
      <c r="Q40" s="61">
        <f t="shared" si="183"/>
        <v>0</v>
      </c>
      <c r="R40" s="61">
        <f t="shared" ref="R40:T40" si="184">IF(BK40=0,SUM(AA40+AD40+AG40+AJ40+AM40+AP40+AS40+AV40+AY40+BB40+BE40+BH40),BK40)</f>
        <v>0</v>
      </c>
      <c r="S40" s="61">
        <f t="shared" si="184"/>
        <v>0</v>
      </c>
      <c r="T40" s="61">
        <f t="shared" si="184"/>
        <v>0</v>
      </c>
      <c r="U40" s="63">
        <f t="shared" si="120"/>
        <v>0</v>
      </c>
      <c r="V40" s="63">
        <f t="shared" si="121"/>
        <v>0</v>
      </c>
      <c r="W40" s="63">
        <f t="shared" si="122"/>
        <v>0</v>
      </c>
      <c r="X40" s="64">
        <f t="shared" ref="X40:Y40" si="185">IF(O40&gt;0,O40/K40,0)</f>
        <v>0</v>
      </c>
      <c r="Y40" s="64">
        <f t="shared" si="185"/>
        <v>0</v>
      </c>
      <c r="Z40" s="64">
        <f t="shared" ref="Z40:Z51" si="186">IF(Q40&gt;0,Q40/N40,0)</f>
        <v>0</v>
      </c>
      <c r="AA40" s="65"/>
      <c r="AB40" s="65"/>
      <c r="AC40" s="65"/>
      <c r="AD40" s="65"/>
      <c r="AE40" s="66"/>
      <c r="AF40" s="66"/>
      <c r="AG40" s="66"/>
      <c r="AH40" s="66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  <c r="AZ40" s="65"/>
      <c r="BA40" s="65"/>
      <c r="BB40" s="65"/>
      <c r="BC40" s="65"/>
      <c r="BD40" s="65"/>
      <c r="BE40" s="65"/>
      <c r="BF40" s="65"/>
      <c r="BG40" s="65"/>
      <c r="BH40" s="65"/>
      <c r="BI40" s="65"/>
      <c r="BJ40" s="65"/>
      <c r="BK40" s="65">
        <v>0</v>
      </c>
      <c r="BL40" s="65">
        <v>0</v>
      </c>
      <c r="BM40" s="65">
        <v>0</v>
      </c>
      <c r="BN40" s="65">
        <f t="shared" si="124"/>
        <v>0</v>
      </c>
      <c r="BO40" s="67">
        <f t="shared" si="125"/>
        <v>0</v>
      </c>
      <c r="BP40" s="65">
        <f t="shared" si="126"/>
        <v>0</v>
      </c>
      <c r="BQ40" s="65">
        <f t="shared" si="127"/>
        <v>0</v>
      </c>
      <c r="BR40" s="65">
        <f t="shared" si="128"/>
        <v>0</v>
      </c>
      <c r="BS40" s="65">
        <f t="shared" si="129"/>
        <v>0</v>
      </c>
      <c r="BT40" s="65">
        <f t="shared" si="130"/>
        <v>0</v>
      </c>
      <c r="BU40" s="65">
        <f t="shared" si="131"/>
        <v>0</v>
      </c>
      <c r="BV40" s="65">
        <f t="shared" si="132"/>
        <v>0</v>
      </c>
      <c r="BW40" s="65">
        <f t="shared" si="133"/>
        <v>0</v>
      </c>
      <c r="BX40" s="6"/>
      <c r="BY40" s="6"/>
      <c r="BZ40" s="6"/>
      <c r="CA40" s="6"/>
      <c r="CB40" s="6"/>
      <c r="CC40" s="6"/>
      <c r="CD40" s="6"/>
      <c r="CE40" s="6"/>
      <c r="CF40" s="6"/>
      <c r="CG40" s="6"/>
    </row>
    <row r="41" spans="1:85" ht="15.75" customHeight="1">
      <c r="A41" s="52" t="s">
        <v>125</v>
      </c>
      <c r="B41" s="68" t="s">
        <v>126</v>
      </c>
      <c r="C41" s="68" t="s">
        <v>127</v>
      </c>
      <c r="D41" s="105" t="s">
        <v>128</v>
      </c>
      <c r="E41" s="56">
        <v>60000</v>
      </c>
      <c r="F41" s="57">
        <v>0</v>
      </c>
      <c r="G41" s="58">
        <f t="shared" si="117"/>
        <v>60000</v>
      </c>
      <c r="H41" s="57">
        <v>0</v>
      </c>
      <c r="I41" s="59">
        <f t="shared" si="84"/>
        <v>0.26069333333333333</v>
      </c>
      <c r="J41" s="59">
        <f t="shared" si="85"/>
        <v>0.25642166666666666</v>
      </c>
      <c r="K41" s="74">
        <f>15001.6+640</f>
        <v>15641.6</v>
      </c>
      <c r="L41" s="100">
        <v>3326.73</v>
      </c>
      <c r="M41" s="74">
        <v>0</v>
      </c>
      <c r="N41" s="74">
        <v>0</v>
      </c>
      <c r="O41" s="63">
        <f t="shared" ref="O41:Q41" si="187">AA41+AD41+AG41+AJ41+AM41+AP41+AS41+AV41+AY41+BB41+BE41+BH41</f>
        <v>15385.3</v>
      </c>
      <c r="P41" s="61">
        <f t="shared" si="187"/>
        <v>3326.73</v>
      </c>
      <c r="Q41" s="61">
        <f t="shared" si="187"/>
        <v>0</v>
      </c>
      <c r="R41" s="61">
        <f t="shared" ref="R41:T41" si="188">IF(BK41=0,SUM(AA41+AD41+AG41+AJ41+AM41+AP41+AS41+AV41+AY41+BB41+BE41+BH41),BK41)</f>
        <v>15385.3</v>
      </c>
      <c r="S41" s="61">
        <f t="shared" si="188"/>
        <v>3326.73</v>
      </c>
      <c r="T41" s="61">
        <f t="shared" si="188"/>
        <v>0</v>
      </c>
      <c r="U41" s="62">
        <f t="shared" si="120"/>
        <v>256.30000000000109</v>
      </c>
      <c r="V41" s="63">
        <f t="shared" si="121"/>
        <v>0</v>
      </c>
      <c r="W41" s="63">
        <f t="shared" si="122"/>
        <v>0</v>
      </c>
      <c r="X41" s="64">
        <f t="shared" ref="X41:Y41" si="189">IF(O41&gt;0,O41/K41,0)</f>
        <v>0.98361420826513901</v>
      </c>
      <c r="Y41" s="64">
        <f t="shared" si="189"/>
        <v>1</v>
      </c>
      <c r="Z41" s="64">
        <f t="shared" si="186"/>
        <v>0</v>
      </c>
      <c r="AA41" s="65"/>
      <c r="AB41" s="100">
        <v>289.60000000000002</v>
      </c>
      <c r="AC41" s="65"/>
      <c r="AD41" s="65">
        <f>10200.98</f>
        <v>10200.98</v>
      </c>
      <c r="AE41" s="113">
        <v>3037.13</v>
      </c>
      <c r="AF41" s="66"/>
      <c r="AG41" s="66"/>
      <c r="AH41" s="66"/>
      <c r="AI41" s="65"/>
      <c r="AJ41" s="65"/>
      <c r="AK41" s="65"/>
      <c r="AL41" s="65"/>
      <c r="AM41" s="100">
        <f>4466.18+718.14</f>
        <v>5184.3200000000006</v>
      </c>
      <c r="AN41" s="65"/>
      <c r="AO41" s="65"/>
      <c r="AP41" s="65"/>
      <c r="AQ41" s="65"/>
      <c r="AR41" s="65"/>
      <c r="AS41" s="65"/>
      <c r="AT41" s="65"/>
      <c r="AU41" s="65"/>
      <c r="AV41" s="65"/>
      <c r="AW41" s="65"/>
      <c r="AX41" s="65"/>
      <c r="AY41" s="65"/>
      <c r="AZ41" s="65"/>
      <c r="BA41" s="65"/>
      <c r="BB41" s="65"/>
      <c r="BC41" s="65"/>
      <c r="BD41" s="65"/>
      <c r="BE41" s="65"/>
      <c r="BF41" s="65"/>
      <c r="BG41" s="65"/>
      <c r="BH41" s="65"/>
      <c r="BI41" s="65"/>
      <c r="BJ41" s="65"/>
      <c r="BK41" s="65">
        <v>0</v>
      </c>
      <c r="BL41" s="65">
        <v>0</v>
      </c>
      <c r="BM41" s="65">
        <v>0</v>
      </c>
      <c r="BN41" s="65">
        <f t="shared" si="124"/>
        <v>15385.3</v>
      </c>
      <c r="BO41" s="67">
        <f t="shared" si="125"/>
        <v>0</v>
      </c>
      <c r="BP41" s="65">
        <f t="shared" si="126"/>
        <v>15385.3</v>
      </c>
      <c r="BQ41" s="65">
        <f t="shared" si="127"/>
        <v>256.30000000000109</v>
      </c>
      <c r="BR41" s="65">
        <f t="shared" si="128"/>
        <v>0</v>
      </c>
      <c r="BS41" s="65">
        <f t="shared" si="129"/>
        <v>256.30000000000109</v>
      </c>
      <c r="BT41" s="65">
        <f t="shared" si="130"/>
        <v>0</v>
      </c>
      <c r="BU41" s="65">
        <f t="shared" si="131"/>
        <v>15385.3</v>
      </c>
      <c r="BV41" s="65">
        <f t="shared" si="132"/>
        <v>256.30000000000109</v>
      </c>
      <c r="BW41" s="65">
        <f t="shared" si="133"/>
        <v>15641.6</v>
      </c>
      <c r="BX41" s="6"/>
      <c r="BY41" s="6"/>
      <c r="BZ41" s="6"/>
      <c r="CA41" s="6"/>
      <c r="CB41" s="6"/>
      <c r="CC41" s="6"/>
      <c r="CD41" s="6"/>
      <c r="CE41" s="6"/>
      <c r="CF41" s="6"/>
      <c r="CG41" s="6"/>
    </row>
    <row r="42" spans="1:85" ht="15.75" customHeight="1">
      <c r="A42" s="68"/>
      <c r="B42" s="103"/>
      <c r="C42" s="68" t="s">
        <v>129</v>
      </c>
      <c r="D42" s="105" t="s">
        <v>130</v>
      </c>
      <c r="E42" s="56">
        <v>1000</v>
      </c>
      <c r="F42" s="57">
        <v>0</v>
      </c>
      <c r="G42" s="58">
        <f t="shared" si="117"/>
        <v>1000</v>
      </c>
      <c r="H42" s="57">
        <v>0</v>
      </c>
      <c r="I42" s="59">
        <f t="shared" si="84"/>
        <v>0</v>
      </c>
      <c r="J42" s="59">
        <f t="shared" si="85"/>
        <v>0</v>
      </c>
      <c r="K42" s="74">
        <v>0</v>
      </c>
      <c r="L42" s="74">
        <v>0</v>
      </c>
      <c r="M42" s="74">
        <v>0</v>
      </c>
      <c r="N42" s="74">
        <v>0</v>
      </c>
      <c r="O42" s="63">
        <f t="shared" ref="O42:Q42" si="190">AA42+AD42+AG42+AJ42+AM42+AP42+AS42+AV42+AY42+BB42+BE42+BH42</f>
        <v>0</v>
      </c>
      <c r="P42" s="61">
        <f t="shared" si="190"/>
        <v>0</v>
      </c>
      <c r="Q42" s="61">
        <f t="shared" si="190"/>
        <v>0</v>
      </c>
      <c r="R42" s="61">
        <f t="shared" ref="R42:T42" si="191">IF(BK42=0,SUM(AA42+AD42+AG42+AJ42+AM42+AP42+AS42+AV42+AY42+BB42+BE42+BH42),BK42)</f>
        <v>0</v>
      </c>
      <c r="S42" s="61">
        <f t="shared" si="191"/>
        <v>0</v>
      </c>
      <c r="T42" s="61">
        <f t="shared" si="191"/>
        <v>0</v>
      </c>
      <c r="U42" s="63">
        <f t="shared" si="120"/>
        <v>0</v>
      </c>
      <c r="V42" s="63">
        <f t="shared" si="121"/>
        <v>0</v>
      </c>
      <c r="W42" s="63">
        <f t="shared" si="122"/>
        <v>0</v>
      </c>
      <c r="X42" s="64">
        <f t="shared" ref="X42:Y42" si="192">IF(O42&gt;0,O42/K42,0)</f>
        <v>0</v>
      </c>
      <c r="Y42" s="64">
        <f t="shared" si="192"/>
        <v>0</v>
      </c>
      <c r="Z42" s="64">
        <f t="shared" si="186"/>
        <v>0</v>
      </c>
      <c r="AA42" s="65"/>
      <c r="AB42" s="65"/>
      <c r="AC42" s="65"/>
      <c r="AD42" s="65"/>
      <c r="AE42" s="66"/>
      <c r="AF42" s="66"/>
      <c r="AG42" s="66"/>
      <c r="AH42" s="66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5"/>
      <c r="AU42" s="65"/>
      <c r="AV42" s="65"/>
      <c r="AW42" s="65"/>
      <c r="AX42" s="65"/>
      <c r="AY42" s="65"/>
      <c r="AZ42" s="65"/>
      <c r="BA42" s="65"/>
      <c r="BB42" s="65"/>
      <c r="BC42" s="65"/>
      <c r="BD42" s="65"/>
      <c r="BE42" s="65"/>
      <c r="BF42" s="65"/>
      <c r="BG42" s="65"/>
      <c r="BH42" s="65"/>
      <c r="BI42" s="65"/>
      <c r="BJ42" s="65"/>
      <c r="BK42" s="65">
        <v>0</v>
      </c>
      <c r="BL42" s="65">
        <v>0</v>
      </c>
      <c r="BM42" s="65">
        <v>0</v>
      </c>
      <c r="BN42" s="65">
        <f t="shared" si="124"/>
        <v>0</v>
      </c>
      <c r="BO42" s="67">
        <f t="shared" si="125"/>
        <v>0</v>
      </c>
      <c r="BP42" s="65">
        <f t="shared" si="126"/>
        <v>0</v>
      </c>
      <c r="BQ42" s="65">
        <f t="shared" si="127"/>
        <v>0</v>
      </c>
      <c r="BR42" s="65">
        <f t="shared" si="128"/>
        <v>0</v>
      </c>
      <c r="BS42" s="65">
        <f t="shared" si="129"/>
        <v>0</v>
      </c>
      <c r="BT42" s="65">
        <f t="shared" si="130"/>
        <v>0</v>
      </c>
      <c r="BU42" s="65">
        <f t="shared" si="131"/>
        <v>0</v>
      </c>
      <c r="BV42" s="65">
        <f t="shared" si="132"/>
        <v>0</v>
      </c>
      <c r="BW42" s="65">
        <f t="shared" si="133"/>
        <v>0</v>
      </c>
      <c r="BX42" s="6"/>
      <c r="BY42" s="6"/>
      <c r="BZ42" s="6"/>
      <c r="CA42" s="6"/>
      <c r="CB42" s="6"/>
      <c r="CC42" s="6"/>
      <c r="CD42" s="6"/>
      <c r="CE42" s="6"/>
      <c r="CF42" s="6"/>
      <c r="CG42" s="6"/>
    </row>
    <row r="43" spans="1:85" ht="15.75" customHeight="1">
      <c r="A43" s="68"/>
      <c r="B43" s="103"/>
      <c r="C43" s="68" t="s">
        <v>131</v>
      </c>
      <c r="D43" s="70" t="s">
        <v>132</v>
      </c>
      <c r="E43" s="56">
        <v>25000</v>
      </c>
      <c r="F43" s="57">
        <v>0</v>
      </c>
      <c r="G43" s="58">
        <f t="shared" si="117"/>
        <v>25000</v>
      </c>
      <c r="H43" s="57">
        <v>0</v>
      </c>
      <c r="I43" s="59">
        <f t="shared" si="84"/>
        <v>0</v>
      </c>
      <c r="J43" s="59">
        <f t="shared" si="85"/>
        <v>0</v>
      </c>
      <c r="K43" s="74">
        <v>0</v>
      </c>
      <c r="L43" s="74">
        <v>0</v>
      </c>
      <c r="M43" s="74">
        <v>0</v>
      </c>
      <c r="N43" s="74">
        <v>0</v>
      </c>
      <c r="O43" s="63">
        <f t="shared" ref="O43:Q43" si="193">AA43+AD43+AG43+AJ43+AM43+AP43+AS43+AV43+AY43+BB43+BE43+BH43</f>
        <v>0</v>
      </c>
      <c r="P43" s="61">
        <f t="shared" si="193"/>
        <v>0</v>
      </c>
      <c r="Q43" s="61">
        <f t="shared" si="193"/>
        <v>0</v>
      </c>
      <c r="R43" s="61">
        <f t="shared" ref="R43:T43" si="194">IF(BK43=0,SUM(AA43+AD43+AG43+AJ43+AM43+AP43+AS43+AV43+AY43+BB43+BE43+BH43),BK43)</f>
        <v>0</v>
      </c>
      <c r="S43" s="61">
        <f t="shared" si="194"/>
        <v>0</v>
      </c>
      <c r="T43" s="61">
        <f t="shared" si="194"/>
        <v>0</v>
      </c>
      <c r="U43" s="63">
        <f t="shared" si="120"/>
        <v>0</v>
      </c>
      <c r="V43" s="63">
        <f t="shared" si="121"/>
        <v>0</v>
      </c>
      <c r="W43" s="63">
        <f t="shared" si="122"/>
        <v>0</v>
      </c>
      <c r="X43" s="64">
        <f t="shared" ref="X43:Y43" si="195">IF(O43&gt;0,O43/K43,0)</f>
        <v>0</v>
      </c>
      <c r="Y43" s="64">
        <f t="shared" si="195"/>
        <v>0</v>
      </c>
      <c r="Z43" s="64">
        <f t="shared" si="186"/>
        <v>0</v>
      </c>
      <c r="AA43" s="65"/>
      <c r="AB43" s="65"/>
      <c r="AC43" s="65"/>
      <c r="AD43" s="65"/>
      <c r="AE43" s="66"/>
      <c r="AF43" s="66"/>
      <c r="AG43" s="66"/>
      <c r="AH43" s="66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T43" s="65"/>
      <c r="AU43" s="65"/>
      <c r="AV43" s="65"/>
      <c r="AW43" s="65"/>
      <c r="AX43" s="65"/>
      <c r="AY43" s="65"/>
      <c r="AZ43" s="65"/>
      <c r="BA43" s="65"/>
      <c r="BB43" s="65"/>
      <c r="BC43" s="65"/>
      <c r="BD43" s="65"/>
      <c r="BE43" s="65"/>
      <c r="BF43" s="65"/>
      <c r="BG43" s="65"/>
      <c r="BH43" s="65"/>
      <c r="BI43" s="65"/>
      <c r="BJ43" s="65"/>
      <c r="BK43" s="65">
        <v>0</v>
      </c>
      <c r="BL43" s="65">
        <v>0</v>
      </c>
      <c r="BM43" s="65">
        <v>0</v>
      </c>
      <c r="BN43" s="65">
        <f t="shared" si="124"/>
        <v>0</v>
      </c>
      <c r="BO43" s="67">
        <f t="shared" si="125"/>
        <v>0</v>
      </c>
      <c r="BP43" s="65">
        <f t="shared" si="126"/>
        <v>0</v>
      </c>
      <c r="BQ43" s="65">
        <f t="shared" si="127"/>
        <v>0</v>
      </c>
      <c r="BR43" s="65">
        <f t="shared" si="128"/>
        <v>0</v>
      </c>
      <c r="BS43" s="65">
        <f t="shared" si="129"/>
        <v>0</v>
      </c>
      <c r="BT43" s="65">
        <f t="shared" si="130"/>
        <v>0</v>
      </c>
      <c r="BU43" s="65">
        <f t="shared" si="131"/>
        <v>0</v>
      </c>
      <c r="BV43" s="65">
        <f t="shared" si="132"/>
        <v>0</v>
      </c>
      <c r="BW43" s="65">
        <f t="shared" si="133"/>
        <v>0</v>
      </c>
      <c r="BX43" s="6"/>
      <c r="BY43" s="6"/>
      <c r="BZ43" s="6"/>
      <c r="CA43" s="6"/>
      <c r="CB43" s="6"/>
      <c r="CC43" s="6"/>
      <c r="CD43" s="6"/>
      <c r="CE43" s="6"/>
      <c r="CF43" s="6"/>
      <c r="CG43" s="6"/>
    </row>
    <row r="44" spans="1:85" ht="15.75" customHeight="1">
      <c r="A44" s="104" t="s">
        <v>92</v>
      </c>
      <c r="B44" s="103"/>
      <c r="C44" s="68" t="s">
        <v>133</v>
      </c>
      <c r="D44" s="105" t="s">
        <v>134</v>
      </c>
      <c r="E44" s="56">
        <v>0</v>
      </c>
      <c r="F44" s="57">
        <v>0</v>
      </c>
      <c r="G44" s="58">
        <f t="shared" si="117"/>
        <v>0</v>
      </c>
      <c r="H44" s="57">
        <v>0</v>
      </c>
      <c r="I44" s="59">
        <f t="shared" si="84"/>
        <v>0</v>
      </c>
      <c r="J44" s="59">
        <f t="shared" si="85"/>
        <v>0</v>
      </c>
      <c r="K44" s="74">
        <v>3827.73</v>
      </c>
      <c r="L44" s="74">
        <v>0</v>
      </c>
      <c r="M44" s="74">
        <v>0</v>
      </c>
      <c r="N44" s="74">
        <v>0</v>
      </c>
      <c r="O44" s="63">
        <f t="shared" ref="O44:Q44" si="196">AA44+AD44+AG44+AJ44+AM44+AP44+AS44+AV44+AY44+BB44+BE44+BH44</f>
        <v>0</v>
      </c>
      <c r="P44" s="61">
        <f t="shared" si="196"/>
        <v>0</v>
      </c>
      <c r="Q44" s="61">
        <f t="shared" si="196"/>
        <v>0</v>
      </c>
      <c r="R44" s="61">
        <f t="shared" ref="R44:T44" si="197">IF(BK44=0,SUM(AA44+AD44+AG44+AJ44+AM44+AP44+AS44+AV44+AY44+BB44+BE44+BH44),BK44)</f>
        <v>0</v>
      </c>
      <c r="S44" s="61">
        <f t="shared" si="197"/>
        <v>0</v>
      </c>
      <c r="T44" s="61">
        <f t="shared" si="197"/>
        <v>0</v>
      </c>
      <c r="U44" s="63">
        <f t="shared" si="120"/>
        <v>3827.73</v>
      </c>
      <c r="V44" s="63">
        <f t="shared" si="121"/>
        <v>0</v>
      </c>
      <c r="W44" s="63">
        <f t="shared" si="122"/>
        <v>0</v>
      </c>
      <c r="X44" s="64">
        <f t="shared" ref="X44:Y44" si="198">IF(O44&gt;0,O44/K44,0)</f>
        <v>0</v>
      </c>
      <c r="Y44" s="64">
        <f t="shared" si="198"/>
        <v>0</v>
      </c>
      <c r="Z44" s="64">
        <f t="shared" si="186"/>
        <v>0</v>
      </c>
      <c r="AA44" s="65"/>
      <c r="AB44" s="65"/>
      <c r="AC44" s="65"/>
      <c r="AD44" s="65"/>
      <c r="AE44" s="66"/>
      <c r="AF44" s="66"/>
      <c r="AG44" s="66"/>
      <c r="AH44" s="66"/>
      <c r="AI44" s="65"/>
      <c r="AJ44" s="65"/>
      <c r="AK44" s="65"/>
      <c r="AL44" s="65"/>
      <c r="AM44" s="65"/>
      <c r="AN44" s="65"/>
      <c r="AO44" s="65"/>
      <c r="AP44" s="65"/>
      <c r="AQ44" s="65"/>
      <c r="AR44" s="65"/>
      <c r="AS44" s="65"/>
      <c r="AT44" s="65"/>
      <c r="AU44" s="65"/>
      <c r="AV44" s="65"/>
      <c r="AW44" s="65"/>
      <c r="AX44" s="65"/>
      <c r="AY44" s="65"/>
      <c r="AZ44" s="65"/>
      <c r="BA44" s="65"/>
      <c r="BB44" s="65"/>
      <c r="BC44" s="65"/>
      <c r="BD44" s="65"/>
      <c r="BE44" s="65"/>
      <c r="BF44" s="65"/>
      <c r="BG44" s="65"/>
      <c r="BH44" s="65"/>
      <c r="BI44" s="65"/>
      <c r="BJ44" s="65"/>
      <c r="BK44" s="65">
        <v>0</v>
      </c>
      <c r="BL44" s="65">
        <v>0</v>
      </c>
      <c r="BM44" s="65">
        <v>0</v>
      </c>
      <c r="BN44" s="65">
        <f t="shared" si="124"/>
        <v>0</v>
      </c>
      <c r="BO44" s="67">
        <f t="shared" si="125"/>
        <v>0</v>
      </c>
      <c r="BP44" s="65">
        <f t="shared" si="126"/>
        <v>0</v>
      </c>
      <c r="BQ44" s="65">
        <f t="shared" si="127"/>
        <v>3827.73</v>
      </c>
      <c r="BR44" s="65">
        <f t="shared" si="128"/>
        <v>0</v>
      </c>
      <c r="BS44" s="65">
        <f t="shared" si="129"/>
        <v>3827.73</v>
      </c>
      <c r="BT44" s="65">
        <f t="shared" si="130"/>
        <v>0</v>
      </c>
      <c r="BU44" s="65">
        <f t="shared" si="131"/>
        <v>0</v>
      </c>
      <c r="BV44" s="65">
        <f t="shared" si="132"/>
        <v>3827.73</v>
      </c>
      <c r="BW44" s="65">
        <f t="shared" si="133"/>
        <v>3827.73</v>
      </c>
      <c r="BX44" s="6"/>
      <c r="BY44" s="6"/>
      <c r="BZ44" s="6"/>
      <c r="CA44" s="6"/>
      <c r="CB44" s="6"/>
      <c r="CC44" s="6"/>
      <c r="CD44" s="6"/>
      <c r="CE44" s="6"/>
      <c r="CF44" s="6"/>
      <c r="CG44" s="6"/>
    </row>
    <row r="45" spans="1:85" ht="15.75" customHeight="1">
      <c r="A45" s="104" t="s">
        <v>135</v>
      </c>
      <c r="B45" s="103"/>
      <c r="C45" s="68" t="s">
        <v>133</v>
      </c>
      <c r="D45" s="105" t="s">
        <v>136</v>
      </c>
      <c r="E45" s="56">
        <v>5000</v>
      </c>
      <c r="F45" s="57">
        <v>0</v>
      </c>
      <c r="G45" s="58">
        <f t="shared" si="117"/>
        <v>5000</v>
      </c>
      <c r="H45" s="57">
        <v>0</v>
      </c>
      <c r="I45" s="59">
        <f t="shared" si="84"/>
        <v>0.18369000000000002</v>
      </c>
      <c r="J45" s="59">
        <f t="shared" si="85"/>
        <v>0</v>
      </c>
      <c r="K45" s="74">
        <v>918.45</v>
      </c>
      <c r="L45" s="74">
        <v>0</v>
      </c>
      <c r="M45" s="74">
        <v>0</v>
      </c>
      <c r="N45" s="74">
        <v>0</v>
      </c>
      <c r="O45" s="61">
        <f t="shared" ref="O45:Q45" si="199">AA45+AD45+AG45+AJ45+AM45+AP45+AS45+AV45+AY45+BB45+BE45+BH45</f>
        <v>0</v>
      </c>
      <c r="P45" s="61">
        <f t="shared" si="199"/>
        <v>0</v>
      </c>
      <c r="Q45" s="61">
        <f t="shared" si="199"/>
        <v>0</v>
      </c>
      <c r="R45" s="61">
        <f t="shared" ref="R45:T45" si="200">IF(BK45=0,SUM(AA45+AD45+AG45+AJ45+AM45+AP45+AS45+AV45+AY45+BB45+BE45+BH45),BK45)</f>
        <v>0</v>
      </c>
      <c r="S45" s="61">
        <f t="shared" si="200"/>
        <v>0</v>
      </c>
      <c r="T45" s="61">
        <f t="shared" si="200"/>
        <v>0</v>
      </c>
      <c r="U45" s="63">
        <f t="shared" si="120"/>
        <v>918.45</v>
      </c>
      <c r="V45" s="63">
        <f t="shared" si="121"/>
        <v>0</v>
      </c>
      <c r="W45" s="63">
        <f t="shared" si="122"/>
        <v>0</v>
      </c>
      <c r="X45" s="64">
        <f t="shared" ref="X45:Y45" si="201">IF(O45&gt;0,O45/K45,0)</f>
        <v>0</v>
      </c>
      <c r="Y45" s="64">
        <f t="shared" si="201"/>
        <v>0</v>
      </c>
      <c r="Z45" s="64">
        <f t="shared" si="186"/>
        <v>0</v>
      </c>
      <c r="AA45" s="65"/>
      <c r="AB45" s="65"/>
      <c r="AC45" s="65"/>
      <c r="AD45" s="65"/>
      <c r="AE45" s="66"/>
      <c r="AF45" s="66"/>
      <c r="AG45" s="66"/>
      <c r="AH45" s="66"/>
      <c r="AI45" s="65"/>
      <c r="AJ45" s="65"/>
      <c r="AK45" s="65"/>
      <c r="AL45" s="65"/>
      <c r="AM45" s="65"/>
      <c r="AN45" s="65"/>
      <c r="AO45" s="65"/>
      <c r="AP45" s="65"/>
      <c r="AQ45" s="65"/>
      <c r="AR45" s="65"/>
      <c r="AS45" s="65"/>
      <c r="AT45" s="65"/>
      <c r="AU45" s="65"/>
      <c r="AV45" s="65"/>
      <c r="AW45" s="65"/>
      <c r="AX45" s="65"/>
      <c r="AY45" s="65"/>
      <c r="AZ45" s="65"/>
      <c r="BA45" s="65"/>
      <c r="BB45" s="65"/>
      <c r="BC45" s="65"/>
      <c r="BD45" s="65"/>
      <c r="BE45" s="65"/>
      <c r="BF45" s="65"/>
      <c r="BG45" s="65"/>
      <c r="BH45" s="65"/>
      <c r="BI45" s="65"/>
      <c r="BJ45" s="65"/>
      <c r="BK45" s="65">
        <v>0</v>
      </c>
      <c r="BL45" s="65">
        <v>0</v>
      </c>
      <c r="BM45" s="65">
        <v>0</v>
      </c>
      <c r="BN45" s="65">
        <f t="shared" si="124"/>
        <v>0</v>
      </c>
      <c r="BO45" s="67">
        <f t="shared" si="125"/>
        <v>0</v>
      </c>
      <c r="BP45" s="65">
        <f t="shared" si="126"/>
        <v>0</v>
      </c>
      <c r="BQ45" s="65">
        <f t="shared" si="127"/>
        <v>918.45</v>
      </c>
      <c r="BR45" s="65">
        <f t="shared" si="128"/>
        <v>0</v>
      </c>
      <c r="BS45" s="65">
        <f t="shared" si="129"/>
        <v>918.45</v>
      </c>
      <c r="BT45" s="65">
        <f t="shared" si="130"/>
        <v>0</v>
      </c>
      <c r="BU45" s="65">
        <f t="shared" si="131"/>
        <v>0</v>
      </c>
      <c r="BV45" s="65">
        <f t="shared" si="132"/>
        <v>918.45</v>
      </c>
      <c r="BW45" s="65">
        <f t="shared" si="133"/>
        <v>918.45</v>
      </c>
      <c r="BX45" s="6"/>
      <c r="BY45" s="6"/>
      <c r="BZ45" s="6"/>
      <c r="CA45" s="6"/>
      <c r="CB45" s="6"/>
      <c r="CC45" s="6"/>
      <c r="CD45" s="6"/>
      <c r="CE45" s="6"/>
      <c r="CF45" s="6"/>
      <c r="CG45" s="6"/>
    </row>
    <row r="46" spans="1:85" ht="15.75">
      <c r="A46" s="75"/>
      <c r="B46" s="77"/>
      <c r="C46" s="77"/>
      <c r="D46" s="101" t="s">
        <v>137</v>
      </c>
      <c r="E46" s="45">
        <f t="shared" ref="E46:H46" si="202">SUM(E47:E58)</f>
        <v>1588834.44</v>
      </c>
      <c r="F46" s="46">
        <f t="shared" si="202"/>
        <v>0</v>
      </c>
      <c r="G46" s="46">
        <f t="shared" si="202"/>
        <v>1588834.44</v>
      </c>
      <c r="H46" s="46">
        <f t="shared" si="202"/>
        <v>0</v>
      </c>
      <c r="I46" s="96">
        <f t="shared" si="84"/>
        <v>1.1412380512094138</v>
      </c>
      <c r="J46" s="96">
        <f t="shared" si="85"/>
        <v>0.50440316487600811</v>
      </c>
      <c r="K46" s="46">
        <f t="shared" ref="K46:W46" si="203">SUM(K47:K58)</f>
        <v>1813238.32</v>
      </c>
      <c r="L46" s="46">
        <f t="shared" si="203"/>
        <v>174049.33999999997</v>
      </c>
      <c r="M46" s="46">
        <f t="shared" si="203"/>
        <v>0</v>
      </c>
      <c r="N46" s="46">
        <f t="shared" si="203"/>
        <v>0</v>
      </c>
      <c r="O46" s="46">
        <f t="shared" si="203"/>
        <v>801413.12</v>
      </c>
      <c r="P46" s="46">
        <f t="shared" si="203"/>
        <v>174049.33999999997</v>
      </c>
      <c r="Q46" s="46">
        <f t="shared" si="203"/>
        <v>0</v>
      </c>
      <c r="R46" s="46">
        <f t="shared" si="203"/>
        <v>801413.12</v>
      </c>
      <c r="S46" s="46">
        <f t="shared" si="203"/>
        <v>174049.33999999997</v>
      </c>
      <c r="T46" s="46">
        <f t="shared" si="203"/>
        <v>0</v>
      </c>
      <c r="U46" s="46">
        <f t="shared" si="203"/>
        <v>1011825.2</v>
      </c>
      <c r="V46" s="46">
        <f t="shared" si="203"/>
        <v>0</v>
      </c>
      <c r="W46" s="46">
        <f t="shared" si="203"/>
        <v>0</v>
      </c>
      <c r="X46" s="97">
        <f t="shared" ref="X46:Y46" si="204">IF(O46&gt;0,O46/K46,0)</f>
        <v>0.44197892310151482</v>
      </c>
      <c r="Y46" s="97">
        <f t="shared" si="204"/>
        <v>1</v>
      </c>
      <c r="Z46" s="97">
        <f t="shared" si="186"/>
        <v>0</v>
      </c>
      <c r="AA46" s="46">
        <f t="shared" ref="AA46:BW46" si="205">SUM(AA47:AA58)</f>
        <v>46156.65</v>
      </c>
      <c r="AB46" s="46">
        <f t="shared" si="205"/>
        <v>0</v>
      </c>
      <c r="AC46" s="46">
        <f t="shared" si="205"/>
        <v>0</v>
      </c>
      <c r="AD46" s="46">
        <f t="shared" si="205"/>
        <v>88851.8</v>
      </c>
      <c r="AE46" s="46">
        <f t="shared" si="205"/>
        <v>18529.150000000001</v>
      </c>
      <c r="AF46" s="46">
        <f t="shared" si="205"/>
        <v>0</v>
      </c>
      <c r="AG46" s="46">
        <f t="shared" si="205"/>
        <v>210403.31999999998</v>
      </c>
      <c r="AH46" s="46">
        <f t="shared" si="205"/>
        <v>2155.36</v>
      </c>
      <c r="AI46" s="46">
        <f t="shared" si="205"/>
        <v>0</v>
      </c>
      <c r="AJ46" s="46">
        <f t="shared" si="205"/>
        <v>151064.52000000002</v>
      </c>
      <c r="AK46" s="46">
        <f t="shared" si="205"/>
        <v>13833.24</v>
      </c>
      <c r="AL46" s="46">
        <f t="shared" si="205"/>
        <v>0</v>
      </c>
      <c r="AM46" s="46">
        <f t="shared" si="205"/>
        <v>151018.81</v>
      </c>
      <c r="AN46" s="46">
        <f t="shared" si="205"/>
        <v>65246.15</v>
      </c>
      <c r="AO46" s="46">
        <f t="shared" si="205"/>
        <v>0</v>
      </c>
      <c r="AP46" s="46">
        <f t="shared" si="205"/>
        <v>153918.02000000002</v>
      </c>
      <c r="AQ46" s="46">
        <f t="shared" si="205"/>
        <v>74285.439999999988</v>
      </c>
      <c r="AR46" s="46">
        <f t="shared" si="205"/>
        <v>0</v>
      </c>
      <c r="AS46" s="46">
        <f t="shared" si="205"/>
        <v>0</v>
      </c>
      <c r="AT46" s="46">
        <f t="shared" si="205"/>
        <v>0</v>
      </c>
      <c r="AU46" s="46">
        <f t="shared" si="205"/>
        <v>0</v>
      </c>
      <c r="AV46" s="46">
        <f t="shared" si="205"/>
        <v>0</v>
      </c>
      <c r="AW46" s="46">
        <f t="shared" si="205"/>
        <v>0</v>
      </c>
      <c r="AX46" s="46">
        <f t="shared" si="205"/>
        <v>0</v>
      </c>
      <c r="AY46" s="46">
        <f t="shared" si="205"/>
        <v>0</v>
      </c>
      <c r="AZ46" s="46">
        <f t="shared" si="205"/>
        <v>0</v>
      </c>
      <c r="BA46" s="46">
        <f t="shared" si="205"/>
        <v>0</v>
      </c>
      <c r="BB46" s="46">
        <f t="shared" si="205"/>
        <v>0</v>
      </c>
      <c r="BC46" s="46">
        <f t="shared" si="205"/>
        <v>0</v>
      </c>
      <c r="BD46" s="46">
        <f t="shared" si="205"/>
        <v>0</v>
      </c>
      <c r="BE46" s="46">
        <f t="shared" si="205"/>
        <v>0</v>
      </c>
      <c r="BF46" s="46">
        <f t="shared" si="205"/>
        <v>0</v>
      </c>
      <c r="BG46" s="46">
        <f t="shared" si="205"/>
        <v>0</v>
      </c>
      <c r="BH46" s="46">
        <f t="shared" si="205"/>
        <v>0</v>
      </c>
      <c r="BI46" s="46">
        <f t="shared" si="205"/>
        <v>0</v>
      </c>
      <c r="BJ46" s="46">
        <f t="shared" si="205"/>
        <v>0</v>
      </c>
      <c r="BK46" s="46">
        <f t="shared" si="205"/>
        <v>0</v>
      </c>
      <c r="BL46" s="46">
        <f t="shared" si="205"/>
        <v>0</v>
      </c>
      <c r="BM46" s="46">
        <f t="shared" si="205"/>
        <v>0</v>
      </c>
      <c r="BN46" s="46">
        <f t="shared" si="205"/>
        <v>801413.12</v>
      </c>
      <c r="BO46" s="46">
        <f t="shared" si="205"/>
        <v>0</v>
      </c>
      <c r="BP46" s="46">
        <f t="shared" si="205"/>
        <v>801413.12</v>
      </c>
      <c r="BQ46" s="46">
        <f t="shared" si="205"/>
        <v>1011825.2</v>
      </c>
      <c r="BR46" s="46">
        <f t="shared" si="205"/>
        <v>0</v>
      </c>
      <c r="BS46" s="46">
        <f t="shared" si="205"/>
        <v>1011825.2</v>
      </c>
      <c r="BT46" s="46">
        <f t="shared" si="205"/>
        <v>0</v>
      </c>
      <c r="BU46" s="46">
        <f t="shared" si="205"/>
        <v>801413.12</v>
      </c>
      <c r="BV46" s="46">
        <f t="shared" si="205"/>
        <v>1011825.2</v>
      </c>
      <c r="BW46" s="46">
        <f t="shared" si="205"/>
        <v>1813238.32</v>
      </c>
      <c r="BX46" s="98"/>
      <c r="BY46" s="98"/>
      <c r="BZ46" s="98"/>
      <c r="CA46" s="98"/>
      <c r="CB46" s="98"/>
      <c r="CC46" s="98"/>
      <c r="CD46" s="98"/>
      <c r="CE46" s="98"/>
      <c r="CF46" s="98"/>
      <c r="CG46" s="98"/>
    </row>
    <row r="47" spans="1:85" ht="15.75" customHeight="1">
      <c r="A47" s="54"/>
      <c r="B47" s="102"/>
      <c r="C47" s="54" t="s">
        <v>138</v>
      </c>
      <c r="D47" s="114" t="s">
        <v>139</v>
      </c>
      <c r="E47" s="56">
        <v>60000</v>
      </c>
      <c r="F47" s="57">
        <v>0</v>
      </c>
      <c r="G47" s="58">
        <f t="shared" ref="G47:G50" si="206">E47-F47</f>
        <v>60000</v>
      </c>
      <c r="H47" s="57">
        <v>0</v>
      </c>
      <c r="I47" s="59">
        <f t="shared" si="84"/>
        <v>0</v>
      </c>
      <c r="J47" s="59">
        <f t="shared" si="85"/>
        <v>0</v>
      </c>
      <c r="K47" s="74">
        <v>0</v>
      </c>
      <c r="L47" s="74">
        <v>0</v>
      </c>
      <c r="M47" s="74">
        <v>0</v>
      </c>
      <c r="N47" s="74">
        <v>0</v>
      </c>
      <c r="O47" s="61">
        <f t="shared" ref="O47:Q47" si="207">AA47+AD47+AG47+AJ47+AM47+AP47+AS47+AV47+AY47+BB47+BE47+BH47</f>
        <v>0</v>
      </c>
      <c r="P47" s="61">
        <f t="shared" si="207"/>
        <v>0</v>
      </c>
      <c r="Q47" s="61">
        <f t="shared" si="207"/>
        <v>0</v>
      </c>
      <c r="R47" s="61">
        <f t="shared" ref="R47:T47" si="208">IF(BK47=0,SUM(AA47+AD47+AG47+AJ47+AM47+AP47+AS47+AV47+AY47+BB47+BE47+BH47),BK47)</f>
        <v>0</v>
      </c>
      <c r="S47" s="61">
        <f t="shared" si="208"/>
        <v>0</v>
      </c>
      <c r="T47" s="61">
        <f t="shared" si="208"/>
        <v>0</v>
      </c>
      <c r="U47" s="63">
        <f t="shared" ref="U47:U58" si="209">K47-O47</f>
        <v>0</v>
      </c>
      <c r="V47" s="63">
        <f t="shared" ref="V47:V58" si="210">L47-M47-S47</f>
        <v>0</v>
      </c>
      <c r="W47" s="63">
        <f t="shared" ref="W47:W58" si="211">N47-Q47</f>
        <v>0</v>
      </c>
      <c r="X47" s="64">
        <f t="shared" ref="X47:Y47" si="212">IF(O47&gt;0,O47/K47,0)</f>
        <v>0</v>
      </c>
      <c r="Y47" s="64">
        <f t="shared" si="212"/>
        <v>0</v>
      </c>
      <c r="Z47" s="64">
        <f t="shared" si="186"/>
        <v>0</v>
      </c>
      <c r="AA47" s="65"/>
      <c r="AB47" s="65"/>
      <c r="AC47" s="65"/>
      <c r="AD47" s="65"/>
      <c r="AE47" s="66"/>
      <c r="AF47" s="66"/>
      <c r="AG47" s="66"/>
      <c r="AH47" s="66"/>
      <c r="AI47" s="65"/>
      <c r="AJ47" s="65"/>
      <c r="AK47" s="65"/>
      <c r="AL47" s="65"/>
      <c r="AM47" s="65"/>
      <c r="AN47" s="65"/>
      <c r="AO47" s="65"/>
      <c r="AP47" s="65"/>
      <c r="AQ47" s="65"/>
      <c r="AR47" s="65"/>
      <c r="AS47" s="65"/>
      <c r="AT47" s="65"/>
      <c r="AU47" s="65"/>
      <c r="AV47" s="65"/>
      <c r="AW47" s="65"/>
      <c r="AX47" s="65"/>
      <c r="AY47" s="65"/>
      <c r="AZ47" s="65"/>
      <c r="BA47" s="65"/>
      <c r="BB47" s="65"/>
      <c r="BC47" s="65"/>
      <c r="BD47" s="65"/>
      <c r="BE47" s="65"/>
      <c r="BF47" s="65"/>
      <c r="BG47" s="65"/>
      <c r="BH47" s="65"/>
      <c r="BI47" s="65"/>
      <c r="BJ47" s="65"/>
      <c r="BK47" s="65">
        <v>0</v>
      </c>
      <c r="BL47" s="65">
        <v>0</v>
      </c>
      <c r="BM47" s="65">
        <v>0</v>
      </c>
      <c r="BN47" s="65">
        <f t="shared" ref="BN47:BN51" si="213">IF(O47-BK47&gt;0,O47-BK47,0)</f>
        <v>0</v>
      </c>
      <c r="BO47" s="67">
        <f t="shared" ref="BO47:BO51" si="214">IF(Q47-BM47&gt;0,Q47-BM47,0)</f>
        <v>0</v>
      </c>
      <c r="BP47" s="65">
        <f t="shared" ref="BP47:BP51" si="215">IF(BN47+BO47&gt;0,BN47+BO47,0)</f>
        <v>0</v>
      </c>
      <c r="BQ47" s="65">
        <f t="shared" ref="BQ47:BQ51" si="216">IF(U47=0,0,U47)</f>
        <v>0</v>
      </c>
      <c r="BR47" s="65">
        <f t="shared" ref="BR47:BR51" si="217">IF(W47=0,0,W47)</f>
        <v>0</v>
      </c>
      <c r="BS47" s="65">
        <f t="shared" ref="BS47:BS51" si="218">IF(BQ47+BR47&gt;0,BQ47+BR47,0)</f>
        <v>0</v>
      </c>
      <c r="BT47" s="65">
        <f t="shared" ref="BT47:BT51" si="219">IF(V47&gt;0,V47,0)</f>
        <v>0</v>
      </c>
      <c r="BU47" s="65">
        <f t="shared" ref="BU47:BU51" si="220">IF(BP47=0,0,BP47)</f>
        <v>0</v>
      </c>
      <c r="BV47" s="65">
        <f t="shared" ref="BV47:BV51" si="221">IF(BS47=0,0,BS47)</f>
        <v>0</v>
      </c>
      <c r="BW47" s="65">
        <f t="shared" ref="BW47:BW51" si="222">IF(BP47+BT47+BV47&gt;0,BP47+BT47+BV47,0)</f>
        <v>0</v>
      </c>
      <c r="BX47" s="6"/>
      <c r="BY47" s="6"/>
      <c r="BZ47" s="6"/>
      <c r="CA47" s="6"/>
      <c r="CB47" s="6"/>
      <c r="CC47" s="6"/>
      <c r="CD47" s="6"/>
      <c r="CE47" s="6"/>
      <c r="CF47" s="6"/>
      <c r="CG47" s="6"/>
    </row>
    <row r="48" spans="1:85" ht="15.75" customHeight="1">
      <c r="A48" s="104" t="s">
        <v>140</v>
      </c>
      <c r="B48" s="71" t="s">
        <v>141</v>
      </c>
      <c r="C48" s="68" t="s">
        <v>142</v>
      </c>
      <c r="D48" s="115" t="s">
        <v>143</v>
      </c>
      <c r="E48" s="56">
        <v>608354.43999999994</v>
      </c>
      <c r="F48" s="57">
        <v>0</v>
      </c>
      <c r="G48" s="58">
        <f t="shared" si="206"/>
        <v>608354.43999999994</v>
      </c>
      <c r="H48" s="57">
        <v>0</v>
      </c>
      <c r="I48" s="83">
        <f t="shared" si="84"/>
        <v>0.81675902620189644</v>
      </c>
      <c r="J48" s="83">
        <f t="shared" si="85"/>
        <v>0.50611345912096906</v>
      </c>
      <c r="K48" s="74">
        <f>62534.41+62534.11-3396+62534.41+62534.41+250137.64</f>
        <v>496878.98</v>
      </c>
      <c r="L48" s="74">
        <v>4356.5600000000004</v>
      </c>
      <c r="M48" s="74">
        <v>0</v>
      </c>
      <c r="N48" s="74">
        <v>0</v>
      </c>
      <c r="O48" s="116">
        <f t="shared" ref="O48:Q48" si="223">AA48+AD48+AG48+AJ48+AM48+AP48+AS48+AV48+AY48+BB48+BE48+BH48</f>
        <v>307896.37</v>
      </c>
      <c r="P48" s="63">
        <f t="shared" si="223"/>
        <v>4356.5600000000004</v>
      </c>
      <c r="Q48" s="63">
        <f t="shared" si="223"/>
        <v>0</v>
      </c>
      <c r="R48" s="63">
        <f t="shared" ref="R48:T48" si="224">IF(BK48=0,SUM(AA48+AD48+AG48+AJ48+AM48+AP48+AS48+AV48+AY48+BB48+BE48+BH48),BK48)</f>
        <v>307896.37</v>
      </c>
      <c r="S48" s="63">
        <f t="shared" si="224"/>
        <v>4356.5600000000004</v>
      </c>
      <c r="T48" s="63">
        <f t="shared" si="224"/>
        <v>0</v>
      </c>
      <c r="U48" s="62">
        <f t="shared" si="209"/>
        <v>188982.61</v>
      </c>
      <c r="V48" s="63">
        <f t="shared" si="210"/>
        <v>0</v>
      </c>
      <c r="W48" s="63">
        <f t="shared" si="211"/>
        <v>0</v>
      </c>
      <c r="X48" s="84">
        <f t="shared" ref="X48:Y48" si="225">IF(O48&gt;0,O48/K48,0)</f>
        <v>0.61966068679339181</v>
      </c>
      <c r="Y48" s="84">
        <f t="shared" si="225"/>
        <v>1</v>
      </c>
      <c r="Z48" s="84">
        <f t="shared" si="186"/>
        <v>0</v>
      </c>
      <c r="AA48" s="85"/>
      <c r="AB48" s="85"/>
      <c r="AC48" s="85"/>
      <c r="AD48" s="85"/>
      <c r="AE48" s="87">
        <v>4356.5600000000004</v>
      </c>
      <c r="AF48" s="86"/>
      <c r="AG48" s="86">
        <f>59642.52+61909</f>
        <v>121551.51999999999</v>
      </c>
      <c r="AH48" s="86"/>
      <c r="AI48" s="85"/>
      <c r="AJ48" s="60">
        <v>62409.33</v>
      </c>
      <c r="AK48" s="85"/>
      <c r="AL48" s="85"/>
      <c r="AM48" s="85">
        <f>62534.4</f>
        <v>62534.400000000001</v>
      </c>
      <c r="AN48" s="85"/>
      <c r="AO48" s="85"/>
      <c r="AP48" s="85">
        <f>61401.12</f>
        <v>61401.120000000003</v>
      </c>
      <c r="AQ48" s="85"/>
      <c r="AR48" s="85"/>
      <c r="AS48" s="85"/>
      <c r="AT48" s="85"/>
      <c r="AU48" s="85"/>
      <c r="AV48" s="85"/>
      <c r="AW48" s="85"/>
      <c r="AX48" s="85"/>
      <c r="AY48" s="85"/>
      <c r="AZ48" s="85"/>
      <c r="BA48" s="85"/>
      <c r="BB48" s="85"/>
      <c r="BC48" s="85"/>
      <c r="BD48" s="85"/>
      <c r="BE48" s="85"/>
      <c r="BF48" s="85"/>
      <c r="BG48" s="85"/>
      <c r="BH48" s="85"/>
      <c r="BI48" s="85"/>
      <c r="BJ48" s="85"/>
      <c r="BK48" s="85">
        <v>0</v>
      </c>
      <c r="BL48" s="85">
        <v>0</v>
      </c>
      <c r="BM48" s="85">
        <v>0</v>
      </c>
      <c r="BN48" s="85">
        <f t="shared" si="213"/>
        <v>307896.37</v>
      </c>
      <c r="BO48" s="117">
        <f t="shared" si="214"/>
        <v>0</v>
      </c>
      <c r="BP48" s="85">
        <f t="shared" si="215"/>
        <v>307896.37</v>
      </c>
      <c r="BQ48" s="85">
        <f t="shared" si="216"/>
        <v>188982.61</v>
      </c>
      <c r="BR48" s="85">
        <f t="shared" si="217"/>
        <v>0</v>
      </c>
      <c r="BS48" s="85">
        <f t="shared" si="218"/>
        <v>188982.61</v>
      </c>
      <c r="BT48" s="85">
        <f t="shared" si="219"/>
        <v>0</v>
      </c>
      <c r="BU48" s="85">
        <f t="shared" si="220"/>
        <v>307896.37</v>
      </c>
      <c r="BV48" s="85">
        <f t="shared" si="221"/>
        <v>188982.61</v>
      </c>
      <c r="BW48" s="85">
        <f t="shared" si="222"/>
        <v>496878.98</v>
      </c>
      <c r="BX48" s="88"/>
      <c r="BY48" s="88"/>
      <c r="BZ48" s="88"/>
      <c r="CA48" s="88"/>
      <c r="CB48" s="88"/>
      <c r="CC48" s="88"/>
      <c r="CD48" s="88"/>
      <c r="CE48" s="88"/>
      <c r="CF48" s="88"/>
      <c r="CG48" s="88"/>
    </row>
    <row r="49" spans="1:85" ht="15.75" customHeight="1">
      <c r="A49" s="118" t="s">
        <v>144</v>
      </c>
      <c r="B49" s="119"/>
      <c r="C49" s="68" t="s">
        <v>142</v>
      </c>
      <c r="D49" s="120" t="s">
        <v>145</v>
      </c>
      <c r="E49" s="56">
        <v>0</v>
      </c>
      <c r="F49" s="57">
        <v>0</v>
      </c>
      <c r="G49" s="58">
        <f t="shared" si="206"/>
        <v>0</v>
      </c>
      <c r="H49" s="57">
        <v>0</v>
      </c>
      <c r="I49" s="83">
        <f t="shared" si="84"/>
        <v>0</v>
      </c>
      <c r="J49" s="83">
        <f t="shared" si="85"/>
        <v>0</v>
      </c>
      <c r="K49" s="74">
        <v>250137.64</v>
      </c>
      <c r="L49" s="74">
        <v>0</v>
      </c>
      <c r="M49" s="74">
        <v>0</v>
      </c>
      <c r="N49" s="74">
        <v>0</v>
      </c>
      <c r="O49" s="61">
        <f t="shared" ref="O49:Q49" si="226">AA49+AD49+AG49+AJ49+AM49+AP49+AS49+AV49+AY49+BB49+BE49+BH49</f>
        <v>0</v>
      </c>
      <c r="P49" s="61">
        <f t="shared" si="226"/>
        <v>0</v>
      </c>
      <c r="Q49" s="61">
        <f t="shared" si="226"/>
        <v>0</v>
      </c>
      <c r="R49" s="61">
        <f t="shared" ref="R49:T49" si="227">IF(BK49=0,SUM(AA49+AD49+AG49+AJ49+AM49+AP49+AS49+AV49+AY49+BB49+BE49+BH49),BK49)</f>
        <v>0</v>
      </c>
      <c r="S49" s="61">
        <f t="shared" si="227"/>
        <v>0</v>
      </c>
      <c r="T49" s="61">
        <f t="shared" si="227"/>
        <v>0</v>
      </c>
      <c r="U49" s="63">
        <f t="shared" si="209"/>
        <v>250137.64</v>
      </c>
      <c r="V49" s="63">
        <f t="shared" si="210"/>
        <v>0</v>
      </c>
      <c r="W49" s="63">
        <f t="shared" si="211"/>
        <v>0</v>
      </c>
      <c r="X49" s="64">
        <f t="shared" ref="X49:Y49" si="228">IF(O49&gt;0,O49/K49,0)</f>
        <v>0</v>
      </c>
      <c r="Y49" s="64">
        <f t="shared" si="228"/>
        <v>0</v>
      </c>
      <c r="Z49" s="64">
        <f t="shared" si="186"/>
        <v>0</v>
      </c>
      <c r="AA49" s="100"/>
      <c r="AB49" s="65"/>
      <c r="AC49" s="65"/>
      <c r="AD49" s="100"/>
      <c r="AE49" s="66"/>
      <c r="AF49" s="66"/>
      <c r="AG49" s="66"/>
      <c r="AH49" s="66"/>
      <c r="AI49" s="65"/>
      <c r="AJ49" s="100"/>
      <c r="AK49" s="65"/>
      <c r="AL49" s="65"/>
      <c r="AM49" s="65"/>
      <c r="AN49" s="65"/>
      <c r="AO49" s="65"/>
      <c r="AP49" s="65"/>
      <c r="AQ49" s="65"/>
      <c r="AR49" s="65"/>
      <c r="AS49" s="65"/>
      <c r="AT49" s="65"/>
      <c r="AU49" s="65"/>
      <c r="AV49" s="65"/>
      <c r="AW49" s="65"/>
      <c r="AX49" s="65"/>
      <c r="AY49" s="65"/>
      <c r="AZ49" s="65"/>
      <c r="BA49" s="65"/>
      <c r="BB49" s="65"/>
      <c r="BC49" s="65"/>
      <c r="BD49" s="65"/>
      <c r="BE49" s="65"/>
      <c r="BF49" s="65"/>
      <c r="BG49" s="65"/>
      <c r="BH49" s="65"/>
      <c r="BI49" s="65"/>
      <c r="BJ49" s="65"/>
      <c r="BK49" s="85">
        <v>0</v>
      </c>
      <c r="BL49" s="85">
        <v>0</v>
      </c>
      <c r="BM49" s="85">
        <v>0</v>
      </c>
      <c r="BN49" s="85">
        <f t="shared" si="213"/>
        <v>0</v>
      </c>
      <c r="BO49" s="117">
        <f t="shared" si="214"/>
        <v>0</v>
      </c>
      <c r="BP49" s="85">
        <f t="shared" si="215"/>
        <v>0</v>
      </c>
      <c r="BQ49" s="85">
        <f t="shared" si="216"/>
        <v>250137.64</v>
      </c>
      <c r="BR49" s="85">
        <f t="shared" si="217"/>
        <v>0</v>
      </c>
      <c r="BS49" s="85">
        <f t="shared" si="218"/>
        <v>250137.64</v>
      </c>
      <c r="BT49" s="85">
        <f t="shared" si="219"/>
        <v>0</v>
      </c>
      <c r="BU49" s="85">
        <f t="shared" si="220"/>
        <v>0</v>
      </c>
      <c r="BV49" s="85">
        <f t="shared" si="221"/>
        <v>250137.64</v>
      </c>
      <c r="BW49" s="85">
        <f t="shared" si="222"/>
        <v>250137.64</v>
      </c>
      <c r="BX49" s="6"/>
      <c r="BY49" s="6"/>
      <c r="BZ49" s="6"/>
      <c r="CA49" s="6"/>
      <c r="CB49" s="6"/>
      <c r="CC49" s="6"/>
      <c r="CD49" s="6"/>
      <c r="CE49" s="6"/>
      <c r="CF49" s="6"/>
      <c r="CG49" s="6"/>
    </row>
    <row r="50" spans="1:85" ht="15.75" customHeight="1">
      <c r="A50" s="104" t="s">
        <v>146</v>
      </c>
      <c r="B50" s="121" t="s">
        <v>147</v>
      </c>
      <c r="C50" s="68" t="s">
        <v>148</v>
      </c>
      <c r="D50" s="122" t="s">
        <v>149</v>
      </c>
      <c r="E50" s="56">
        <v>553880</v>
      </c>
      <c r="F50" s="57">
        <v>0</v>
      </c>
      <c r="G50" s="58">
        <f t="shared" si="206"/>
        <v>553880</v>
      </c>
      <c r="H50" s="57">
        <v>0</v>
      </c>
      <c r="I50" s="59">
        <f t="shared" si="84"/>
        <v>0.66666660648515919</v>
      </c>
      <c r="J50" s="59">
        <f t="shared" si="85"/>
        <v>0.49999981945547778</v>
      </c>
      <c r="K50" s="74">
        <f>46156.65+46156.75+47156.65-1000+46156.65+184626.6</f>
        <v>369253.3</v>
      </c>
      <c r="L50" s="74">
        <v>52173.14</v>
      </c>
      <c r="M50" s="74">
        <v>0</v>
      </c>
      <c r="N50" s="74">
        <v>0</v>
      </c>
      <c r="O50" s="116">
        <f t="shared" ref="O50:Q50" si="229">AA50+AD50+AG50+AJ50+AM50+AP50+AS50+AV50+AY50+BB50+BE50+BH50</f>
        <v>276939.90000000002</v>
      </c>
      <c r="P50" s="61">
        <f t="shared" si="229"/>
        <v>52173.14</v>
      </c>
      <c r="Q50" s="61">
        <f t="shared" si="229"/>
        <v>0</v>
      </c>
      <c r="R50" s="61">
        <f t="shared" ref="R50:T50" si="230">IF(BK50=0,SUM(AA50+AD50+AG50+AJ50+AM50+AP50+AS50+AV50+AY50+BB50+BE50+BH50),BK50)</f>
        <v>276939.90000000002</v>
      </c>
      <c r="S50" s="61">
        <f t="shared" si="230"/>
        <v>52173.14</v>
      </c>
      <c r="T50" s="61">
        <f t="shared" si="230"/>
        <v>0</v>
      </c>
      <c r="U50" s="62">
        <f t="shared" si="209"/>
        <v>92313.399999999965</v>
      </c>
      <c r="V50" s="63">
        <f t="shared" si="210"/>
        <v>0</v>
      </c>
      <c r="W50" s="63">
        <f t="shared" si="211"/>
        <v>0</v>
      </c>
      <c r="X50" s="64">
        <f t="shared" ref="X50:Y50" si="231">IF(O50&gt;0,O50/K50,0)</f>
        <v>0.74999979688739415</v>
      </c>
      <c r="Y50" s="64">
        <f t="shared" si="231"/>
        <v>1</v>
      </c>
      <c r="Z50" s="64">
        <f t="shared" si="186"/>
        <v>0</v>
      </c>
      <c r="AA50" s="100">
        <v>46156.65</v>
      </c>
      <c r="AB50" s="65"/>
      <c r="AC50" s="65"/>
      <c r="AD50" s="100">
        <v>46156.65</v>
      </c>
      <c r="AE50" s="66">
        <f>5077.23</f>
        <v>5077.2299999999996</v>
      </c>
      <c r="AF50" s="66"/>
      <c r="AG50" s="66">
        <f>46156.65</f>
        <v>46156.65</v>
      </c>
      <c r="AH50" s="66"/>
      <c r="AI50" s="65"/>
      <c r="AJ50" s="100">
        <v>46156.65</v>
      </c>
      <c r="AK50" s="65"/>
      <c r="AL50" s="65"/>
      <c r="AM50" s="65">
        <f>46156.65</f>
        <v>46156.65</v>
      </c>
      <c r="AN50" s="65">
        <f>8436.63</f>
        <v>8436.6299999999992</v>
      </c>
      <c r="AO50" s="65"/>
      <c r="AP50" s="65">
        <f>46156.65</f>
        <v>46156.65</v>
      </c>
      <c r="AQ50" s="65">
        <f>8520.71+5968.62+7051.24+8645.12+8473.59</f>
        <v>38659.279999999999</v>
      </c>
      <c r="AR50" s="65"/>
      <c r="AS50" s="65"/>
      <c r="AT50" s="65"/>
      <c r="AU50" s="65"/>
      <c r="AV50" s="65"/>
      <c r="AW50" s="65"/>
      <c r="AX50" s="65"/>
      <c r="AY50" s="65"/>
      <c r="AZ50" s="65"/>
      <c r="BA50" s="65"/>
      <c r="BB50" s="65"/>
      <c r="BC50" s="65"/>
      <c r="BD50" s="65"/>
      <c r="BE50" s="65"/>
      <c r="BF50" s="65"/>
      <c r="BG50" s="65"/>
      <c r="BH50" s="65"/>
      <c r="BI50" s="65"/>
      <c r="BJ50" s="65"/>
      <c r="BK50" s="65">
        <v>0</v>
      </c>
      <c r="BL50" s="65">
        <v>0</v>
      </c>
      <c r="BM50" s="65">
        <v>0</v>
      </c>
      <c r="BN50" s="65">
        <f t="shared" si="213"/>
        <v>276939.90000000002</v>
      </c>
      <c r="BO50" s="67">
        <f t="shared" si="214"/>
        <v>0</v>
      </c>
      <c r="BP50" s="65">
        <f t="shared" si="215"/>
        <v>276939.90000000002</v>
      </c>
      <c r="BQ50" s="65">
        <f t="shared" si="216"/>
        <v>92313.399999999965</v>
      </c>
      <c r="BR50" s="65">
        <f t="shared" si="217"/>
        <v>0</v>
      </c>
      <c r="BS50" s="65">
        <f t="shared" si="218"/>
        <v>92313.399999999965</v>
      </c>
      <c r="BT50" s="65">
        <f t="shared" si="219"/>
        <v>0</v>
      </c>
      <c r="BU50" s="65">
        <f t="shared" si="220"/>
        <v>276939.90000000002</v>
      </c>
      <c r="BV50" s="65">
        <f t="shared" si="221"/>
        <v>92313.399999999965</v>
      </c>
      <c r="BW50" s="65">
        <f t="shared" si="222"/>
        <v>369253.3</v>
      </c>
      <c r="BX50" s="6"/>
      <c r="BY50" s="6"/>
      <c r="BZ50" s="6"/>
      <c r="CA50" s="6"/>
      <c r="CB50" s="6"/>
      <c r="CC50" s="6"/>
      <c r="CD50" s="6"/>
      <c r="CE50" s="6"/>
      <c r="CF50" s="6"/>
      <c r="CG50" s="6"/>
    </row>
    <row r="51" spans="1:85" ht="15.75" customHeight="1">
      <c r="A51" s="118" t="s">
        <v>150</v>
      </c>
      <c r="B51" s="123"/>
      <c r="C51" s="68" t="s">
        <v>148</v>
      </c>
      <c r="D51" s="124" t="s">
        <v>151</v>
      </c>
      <c r="E51" s="125">
        <v>0</v>
      </c>
      <c r="F51" s="126">
        <v>0</v>
      </c>
      <c r="G51" s="127">
        <v>0</v>
      </c>
      <c r="H51" s="128">
        <v>0</v>
      </c>
      <c r="I51" s="129">
        <f t="shared" ref="I51:I57" si="232">IF(G51&gt;0,K51/G51,0)</f>
        <v>0</v>
      </c>
      <c r="J51" s="129">
        <f t="shared" ref="J51:J57" si="233">IF(G51&gt;0,O51/G51,0)</f>
        <v>0</v>
      </c>
      <c r="K51" s="130">
        <v>184626.6</v>
      </c>
      <c r="L51" s="131">
        <v>0</v>
      </c>
      <c r="M51" s="132">
        <v>0</v>
      </c>
      <c r="N51" s="132">
        <v>0</v>
      </c>
      <c r="O51" s="116">
        <f t="shared" ref="O51:Q51" si="234">AA51+AD51+AG51+AJ51+AM51+AP51+AS51+AV51+AY51+BB51+BE51+BH51</f>
        <v>0</v>
      </c>
      <c r="P51" s="61">
        <f t="shared" si="234"/>
        <v>0</v>
      </c>
      <c r="Q51" s="61">
        <f t="shared" si="234"/>
        <v>0</v>
      </c>
      <c r="R51" s="61">
        <f t="shared" ref="R51:T51" si="235">IF(BK51=0,SUM(AA51+AD51+AG51+AJ51+AM51+AP51+AS51+AV51+AY51+BB51+BE51+BH51),BK51)</f>
        <v>0</v>
      </c>
      <c r="S51" s="61">
        <f t="shared" si="235"/>
        <v>0</v>
      </c>
      <c r="T51" s="61">
        <f t="shared" si="235"/>
        <v>0</v>
      </c>
      <c r="U51" s="62">
        <f t="shared" si="209"/>
        <v>184626.6</v>
      </c>
      <c r="V51" s="63">
        <f t="shared" si="210"/>
        <v>0</v>
      </c>
      <c r="W51" s="63">
        <f t="shared" si="211"/>
        <v>0</v>
      </c>
      <c r="X51" s="64">
        <f t="shared" ref="X51:Y51" si="236">IF(O51&gt;0,O51/K51,0)</f>
        <v>0</v>
      </c>
      <c r="Y51" s="64">
        <f t="shared" si="236"/>
        <v>0</v>
      </c>
      <c r="Z51" s="64">
        <f t="shared" si="186"/>
        <v>0</v>
      </c>
      <c r="AA51" s="133"/>
      <c r="AB51" s="133"/>
      <c r="AC51" s="134"/>
      <c r="AD51" s="134"/>
      <c r="AE51" s="135"/>
      <c r="AF51" s="135"/>
      <c r="AG51" s="135"/>
      <c r="AH51" s="135"/>
      <c r="AI51" s="134"/>
      <c r="AJ51" s="133"/>
      <c r="AK51" s="134"/>
      <c r="AL51" s="134"/>
      <c r="AM51" s="133"/>
      <c r="AN51" s="134"/>
      <c r="AO51" s="134"/>
      <c r="AP51" s="133"/>
      <c r="AQ51" s="134"/>
      <c r="AR51" s="134"/>
      <c r="AS51" s="134"/>
      <c r="AT51" s="134"/>
      <c r="AU51" s="134"/>
      <c r="AV51" s="134"/>
      <c r="AW51" s="134"/>
      <c r="AX51" s="134"/>
      <c r="AY51" s="134"/>
      <c r="AZ51" s="134"/>
      <c r="BA51" s="134"/>
      <c r="BB51" s="134"/>
      <c r="BC51" s="134"/>
      <c r="BD51" s="134"/>
      <c r="BE51" s="134"/>
      <c r="BF51" s="134"/>
      <c r="BG51" s="134"/>
      <c r="BH51" s="134"/>
      <c r="BI51" s="134"/>
      <c r="BJ51" s="134"/>
      <c r="BK51" s="65">
        <v>0</v>
      </c>
      <c r="BL51" s="65">
        <v>0</v>
      </c>
      <c r="BM51" s="65">
        <v>0</v>
      </c>
      <c r="BN51" s="65">
        <f t="shared" si="213"/>
        <v>0</v>
      </c>
      <c r="BO51" s="67">
        <f t="shared" si="214"/>
        <v>0</v>
      </c>
      <c r="BP51" s="65">
        <f t="shared" si="215"/>
        <v>0</v>
      </c>
      <c r="BQ51" s="65">
        <f t="shared" si="216"/>
        <v>184626.6</v>
      </c>
      <c r="BR51" s="65">
        <f t="shared" si="217"/>
        <v>0</v>
      </c>
      <c r="BS51" s="65">
        <f t="shared" si="218"/>
        <v>184626.6</v>
      </c>
      <c r="BT51" s="65">
        <f t="shared" si="219"/>
        <v>0</v>
      </c>
      <c r="BU51" s="65">
        <f t="shared" si="220"/>
        <v>0</v>
      </c>
      <c r="BV51" s="65">
        <f t="shared" si="221"/>
        <v>184626.6</v>
      </c>
      <c r="BW51" s="65">
        <f t="shared" si="222"/>
        <v>184626.6</v>
      </c>
      <c r="BX51" s="136"/>
      <c r="BY51" s="136"/>
      <c r="BZ51" s="136"/>
      <c r="CA51" s="136"/>
      <c r="CB51" s="136"/>
      <c r="CC51" s="136"/>
      <c r="CD51" s="136"/>
      <c r="CE51" s="136"/>
      <c r="CF51" s="136"/>
      <c r="CG51" s="136"/>
    </row>
    <row r="52" spans="1:85" ht="15.75" customHeight="1">
      <c r="A52" s="137"/>
      <c r="B52" s="123" t="s">
        <v>152</v>
      </c>
      <c r="C52" s="123" t="s">
        <v>148</v>
      </c>
      <c r="D52" s="138" t="s">
        <v>153</v>
      </c>
      <c r="E52" s="125">
        <v>0</v>
      </c>
      <c r="F52" s="126">
        <v>0</v>
      </c>
      <c r="G52" s="127">
        <v>0</v>
      </c>
      <c r="H52" s="128">
        <v>0</v>
      </c>
      <c r="I52" s="129">
        <f t="shared" si="232"/>
        <v>0</v>
      </c>
      <c r="J52" s="129">
        <f t="shared" si="233"/>
        <v>0</v>
      </c>
      <c r="K52" s="133">
        <v>0</v>
      </c>
      <c r="L52" s="139">
        <v>1501.37</v>
      </c>
      <c r="M52" s="132">
        <v>0</v>
      </c>
      <c r="N52" s="132">
        <v>0</v>
      </c>
      <c r="O52" s="140">
        <f t="shared" ref="O52:Q52" si="237">AA52+AD52+AG52+AJ52+AM52+AP52+AS52+AV52+AY52+BB52+BE52+BH52</f>
        <v>0</v>
      </c>
      <c r="P52" s="140">
        <f t="shared" si="237"/>
        <v>1501.37</v>
      </c>
      <c r="Q52" s="140">
        <f t="shared" si="237"/>
        <v>0</v>
      </c>
      <c r="R52" s="140">
        <f t="shared" ref="R52:T52" si="238">IF(BK52=0,SUM(AA52+AD52+AG52+AJ52+AM52+AP52+AS52+AV52+AY52+BB52+BE52+BH52),BK52)</f>
        <v>0</v>
      </c>
      <c r="S52" s="140">
        <f t="shared" si="238"/>
        <v>1501.37</v>
      </c>
      <c r="T52" s="140">
        <f t="shared" si="238"/>
        <v>0</v>
      </c>
      <c r="U52" s="141">
        <f t="shared" si="209"/>
        <v>0</v>
      </c>
      <c r="V52" s="63">
        <f t="shared" si="210"/>
        <v>0</v>
      </c>
      <c r="W52" s="140">
        <f t="shared" si="211"/>
        <v>0</v>
      </c>
      <c r="X52" s="142">
        <f t="shared" ref="X52:Y52" si="239">IF(O52&gt;0,O52/K52,0)</f>
        <v>0</v>
      </c>
      <c r="Y52" s="142">
        <f t="shared" si="239"/>
        <v>1</v>
      </c>
      <c r="Z52" s="142">
        <f t="shared" ref="Z52:Z57" si="240">IF(Q52&gt;0,Q52/N52,0)</f>
        <v>0</v>
      </c>
      <c r="AA52" s="133"/>
      <c r="AB52" s="133"/>
      <c r="AC52" s="134"/>
      <c r="AD52" s="134"/>
      <c r="AE52" s="135"/>
      <c r="AF52" s="135"/>
      <c r="AG52" s="135"/>
      <c r="AH52" s="135"/>
      <c r="AI52" s="134"/>
      <c r="AJ52" s="133"/>
      <c r="AK52" s="134"/>
      <c r="AL52" s="134"/>
      <c r="AM52" s="133"/>
      <c r="AN52" s="134">
        <f>1501.37</f>
        <v>1501.37</v>
      </c>
      <c r="AO52" s="134"/>
      <c r="AP52" s="133"/>
      <c r="AQ52" s="134"/>
      <c r="AR52" s="134"/>
      <c r="AS52" s="134"/>
      <c r="AT52" s="134"/>
      <c r="AU52" s="134"/>
      <c r="AV52" s="134"/>
      <c r="AW52" s="134"/>
      <c r="AX52" s="134"/>
      <c r="AY52" s="134"/>
      <c r="AZ52" s="134"/>
      <c r="BA52" s="134"/>
      <c r="BB52" s="134"/>
      <c r="BC52" s="134"/>
      <c r="BD52" s="134"/>
      <c r="BE52" s="134"/>
      <c r="BF52" s="134"/>
      <c r="BG52" s="134"/>
      <c r="BH52" s="134"/>
      <c r="BI52" s="134"/>
      <c r="BJ52" s="134"/>
      <c r="BK52" s="65">
        <v>0</v>
      </c>
      <c r="BL52" s="65">
        <v>0</v>
      </c>
      <c r="BM52" s="133">
        <v>0</v>
      </c>
      <c r="BN52" s="143">
        <f t="shared" ref="BN52:BN57" si="241">IF(O52-BK52&gt;0,O52-BK52,0)</f>
        <v>0</v>
      </c>
      <c r="BO52" s="144">
        <f t="shared" ref="BO52:BO57" si="242">IF(Q52-BM52&gt;0,Q52-BM52,0)</f>
        <v>0</v>
      </c>
      <c r="BP52" s="134">
        <f t="shared" ref="BP52:BP57" si="243">IF(BN52+BO52&gt;0,BN52+BO52,0)</f>
        <v>0</v>
      </c>
      <c r="BQ52" s="134">
        <f t="shared" ref="BQ52:BQ57" si="244">IF(U52=0,0,U52)</f>
        <v>0</v>
      </c>
      <c r="BR52" s="134">
        <f t="shared" ref="BR52:BR57" si="245">IF(W52=0,0,W52)</f>
        <v>0</v>
      </c>
      <c r="BS52" s="134">
        <f t="shared" ref="BS52:BS57" si="246">IF(BQ52+BR52&gt;0,BQ52+BR52,0)</f>
        <v>0</v>
      </c>
      <c r="BT52" s="134">
        <f t="shared" ref="BT52:BT57" si="247">IF(V52&gt;0,V52,0)</f>
        <v>0</v>
      </c>
      <c r="BU52" s="134">
        <f t="shared" ref="BU52:BU57" si="248">IF(BP52=0,0,BP52)</f>
        <v>0</v>
      </c>
      <c r="BV52" s="134">
        <f t="shared" ref="BV52:BV57" si="249">IF(BS52=0,0,BS52)</f>
        <v>0</v>
      </c>
      <c r="BW52" s="134">
        <f t="shared" ref="BW52:BW57" si="250">IF(BP52+BT52+BV52&gt;0,BP52+BT52+BV52,0)</f>
        <v>0</v>
      </c>
      <c r="BX52" s="136"/>
      <c r="BY52" s="136"/>
      <c r="BZ52" s="136"/>
      <c r="CA52" s="136"/>
      <c r="CB52" s="136"/>
      <c r="CC52" s="136"/>
      <c r="CD52" s="136"/>
      <c r="CE52" s="136"/>
      <c r="CF52" s="136"/>
      <c r="CG52" s="136"/>
    </row>
    <row r="53" spans="1:85" ht="15.75" customHeight="1">
      <c r="A53" s="145"/>
      <c r="B53" s="146" t="s">
        <v>154</v>
      </c>
      <c r="C53" s="146" t="s">
        <v>148</v>
      </c>
      <c r="D53" s="138" t="s">
        <v>155</v>
      </c>
      <c r="E53" s="147">
        <v>0</v>
      </c>
      <c r="F53" s="148">
        <v>0</v>
      </c>
      <c r="G53" s="149">
        <v>0</v>
      </c>
      <c r="H53" s="150">
        <v>0</v>
      </c>
      <c r="I53" s="151">
        <f t="shared" si="232"/>
        <v>0</v>
      </c>
      <c r="J53" s="151">
        <f t="shared" si="233"/>
        <v>0</v>
      </c>
      <c r="K53" s="152">
        <v>0</v>
      </c>
      <c r="L53" s="153">
        <v>33583.78</v>
      </c>
      <c r="M53" s="154">
        <v>0</v>
      </c>
      <c r="N53" s="154">
        <v>0</v>
      </c>
      <c r="O53" s="155">
        <f t="shared" ref="O53:Q53" si="251">AA53+AD53+AG53+AJ53+AM53+AP53+AS53+AV53+AY53+BB53+BE53+BH53</f>
        <v>0</v>
      </c>
      <c r="P53" s="155">
        <f t="shared" si="251"/>
        <v>33583.78</v>
      </c>
      <c r="Q53" s="155">
        <f t="shared" si="251"/>
        <v>0</v>
      </c>
      <c r="R53" s="155">
        <f t="shared" ref="R53:T53" si="252">IF(BK53=0,SUM(AA53+AD53+AG53+AJ53+AM53+AP53+AS53+AV53+AY53+BB53+BE53+BH53),BK53)</f>
        <v>0</v>
      </c>
      <c r="S53" s="155">
        <f t="shared" si="252"/>
        <v>33583.78</v>
      </c>
      <c r="T53" s="155">
        <f t="shared" si="252"/>
        <v>0</v>
      </c>
      <c r="U53" s="156">
        <f t="shared" si="209"/>
        <v>0</v>
      </c>
      <c r="V53" s="63">
        <f t="shared" si="210"/>
        <v>0</v>
      </c>
      <c r="W53" s="155">
        <f t="shared" si="211"/>
        <v>0</v>
      </c>
      <c r="X53" s="157">
        <f t="shared" ref="X53:Y53" si="253">IF(O53&gt;0,O53/K53,0)</f>
        <v>0</v>
      </c>
      <c r="Y53" s="157">
        <f t="shared" si="253"/>
        <v>1</v>
      </c>
      <c r="Z53" s="157">
        <f t="shared" si="240"/>
        <v>0</v>
      </c>
      <c r="AA53" s="152"/>
      <c r="AB53" s="152"/>
      <c r="AC53" s="158"/>
      <c r="AD53" s="158"/>
      <c r="AE53" s="159"/>
      <c r="AF53" s="159"/>
      <c r="AG53" s="159"/>
      <c r="AH53" s="159"/>
      <c r="AI53" s="158"/>
      <c r="AJ53" s="152"/>
      <c r="AK53" s="158"/>
      <c r="AL53" s="158"/>
      <c r="AM53" s="152"/>
      <c r="AN53" s="158">
        <f>7319.02+4336.45+7202.25+7363.03+7363.03</f>
        <v>33583.78</v>
      </c>
      <c r="AO53" s="158"/>
      <c r="AP53" s="152"/>
      <c r="AQ53" s="158"/>
      <c r="AR53" s="158"/>
      <c r="AS53" s="158"/>
      <c r="AT53" s="158"/>
      <c r="AU53" s="158"/>
      <c r="AV53" s="158"/>
      <c r="AW53" s="158"/>
      <c r="AX53" s="158"/>
      <c r="AY53" s="158"/>
      <c r="AZ53" s="158"/>
      <c r="BA53" s="158"/>
      <c r="BB53" s="158"/>
      <c r="BC53" s="158"/>
      <c r="BD53" s="158"/>
      <c r="BE53" s="158"/>
      <c r="BF53" s="158"/>
      <c r="BG53" s="158"/>
      <c r="BH53" s="158"/>
      <c r="BI53" s="158"/>
      <c r="BJ53" s="158"/>
      <c r="BK53" s="65">
        <v>0</v>
      </c>
      <c r="BL53" s="65">
        <v>0</v>
      </c>
      <c r="BM53" s="152">
        <v>0</v>
      </c>
      <c r="BN53" s="160">
        <f t="shared" si="241"/>
        <v>0</v>
      </c>
      <c r="BO53" s="161">
        <f t="shared" si="242"/>
        <v>0</v>
      </c>
      <c r="BP53" s="158">
        <f t="shared" si="243"/>
        <v>0</v>
      </c>
      <c r="BQ53" s="158">
        <f t="shared" si="244"/>
        <v>0</v>
      </c>
      <c r="BR53" s="158">
        <f t="shared" si="245"/>
        <v>0</v>
      </c>
      <c r="BS53" s="158">
        <f t="shared" si="246"/>
        <v>0</v>
      </c>
      <c r="BT53" s="158">
        <f t="shared" si="247"/>
        <v>0</v>
      </c>
      <c r="BU53" s="158">
        <f t="shared" si="248"/>
        <v>0</v>
      </c>
      <c r="BV53" s="158">
        <f t="shared" si="249"/>
        <v>0</v>
      </c>
      <c r="BW53" s="158">
        <f t="shared" si="250"/>
        <v>0</v>
      </c>
      <c r="BX53" s="136"/>
      <c r="BY53" s="136"/>
      <c r="BZ53" s="136"/>
      <c r="CA53" s="136"/>
      <c r="CB53" s="136"/>
      <c r="CC53" s="136"/>
      <c r="CD53" s="136"/>
      <c r="CE53" s="136"/>
      <c r="CF53" s="136"/>
      <c r="CG53" s="136"/>
    </row>
    <row r="54" spans="1:85" ht="15.75" customHeight="1">
      <c r="A54" s="137"/>
      <c r="B54" s="123" t="s">
        <v>156</v>
      </c>
      <c r="C54" s="123" t="s">
        <v>148</v>
      </c>
      <c r="D54" s="138" t="s">
        <v>157</v>
      </c>
      <c r="E54" s="162">
        <v>0</v>
      </c>
      <c r="F54" s="126">
        <v>0</v>
      </c>
      <c r="G54" s="127">
        <v>0</v>
      </c>
      <c r="H54" s="126">
        <v>0</v>
      </c>
      <c r="I54" s="129">
        <f t="shared" si="232"/>
        <v>0</v>
      </c>
      <c r="J54" s="129">
        <f t="shared" si="233"/>
        <v>0</v>
      </c>
      <c r="K54" s="133">
        <v>0</v>
      </c>
      <c r="L54" s="139">
        <v>7178.8</v>
      </c>
      <c r="M54" s="132">
        <v>0</v>
      </c>
      <c r="N54" s="132">
        <v>0</v>
      </c>
      <c r="O54" s="140">
        <f t="shared" ref="O54:Q54" si="254">AA54+AD54+AG54+AJ54+AM54+AP54+AS54+AV54+AY54+BB54+BE54+BH54</f>
        <v>0</v>
      </c>
      <c r="P54" s="140">
        <f t="shared" si="254"/>
        <v>7178.8</v>
      </c>
      <c r="Q54" s="140">
        <f t="shared" si="254"/>
        <v>0</v>
      </c>
      <c r="R54" s="140">
        <f t="shared" ref="R54:T54" si="255">IF(BK54=0,SUM(AA54+AD54+AG54+AJ54+AM54+AP54+AS54+AV54+AY54+BB54+BE54+BH54),BK54)</f>
        <v>0</v>
      </c>
      <c r="S54" s="140">
        <f t="shared" si="255"/>
        <v>7178.8</v>
      </c>
      <c r="T54" s="140">
        <f t="shared" si="255"/>
        <v>0</v>
      </c>
      <c r="U54" s="141">
        <f t="shared" si="209"/>
        <v>0</v>
      </c>
      <c r="V54" s="63">
        <f t="shared" si="210"/>
        <v>0</v>
      </c>
      <c r="W54" s="140">
        <f t="shared" si="211"/>
        <v>0</v>
      </c>
      <c r="X54" s="142">
        <f t="shared" ref="X54:Y54" si="256">IF(O54&gt;0,O54/K54,0)</f>
        <v>0</v>
      </c>
      <c r="Y54" s="142">
        <f t="shared" si="256"/>
        <v>1</v>
      </c>
      <c r="Z54" s="142">
        <f t="shared" si="240"/>
        <v>0</v>
      </c>
      <c r="AA54" s="133"/>
      <c r="AB54" s="133"/>
      <c r="AC54" s="134"/>
      <c r="AD54" s="134"/>
      <c r="AE54" s="135"/>
      <c r="AF54" s="135"/>
      <c r="AG54" s="135"/>
      <c r="AH54" s="135"/>
      <c r="AI54" s="134"/>
      <c r="AJ54" s="133"/>
      <c r="AK54" s="134"/>
      <c r="AL54" s="134"/>
      <c r="AM54" s="133"/>
      <c r="AN54" s="134">
        <f>7178.8</f>
        <v>7178.8</v>
      </c>
      <c r="AO54" s="134"/>
      <c r="AP54" s="133"/>
      <c r="AQ54" s="134"/>
      <c r="AR54" s="134"/>
      <c r="AS54" s="134"/>
      <c r="AT54" s="134"/>
      <c r="AU54" s="134"/>
      <c r="AV54" s="134"/>
      <c r="AW54" s="134"/>
      <c r="AX54" s="134"/>
      <c r="AY54" s="134"/>
      <c r="AZ54" s="134"/>
      <c r="BA54" s="134"/>
      <c r="BB54" s="134"/>
      <c r="BC54" s="134"/>
      <c r="BD54" s="134"/>
      <c r="BE54" s="134"/>
      <c r="BF54" s="134"/>
      <c r="BG54" s="134"/>
      <c r="BH54" s="134"/>
      <c r="BI54" s="134"/>
      <c r="BJ54" s="134"/>
      <c r="BK54" s="65">
        <v>0</v>
      </c>
      <c r="BL54" s="65">
        <v>0</v>
      </c>
      <c r="BM54" s="133">
        <v>0</v>
      </c>
      <c r="BN54" s="143">
        <f t="shared" si="241"/>
        <v>0</v>
      </c>
      <c r="BO54" s="144">
        <f t="shared" si="242"/>
        <v>0</v>
      </c>
      <c r="BP54" s="134">
        <f t="shared" si="243"/>
        <v>0</v>
      </c>
      <c r="BQ54" s="134">
        <f t="shared" si="244"/>
        <v>0</v>
      </c>
      <c r="BR54" s="134">
        <f t="shared" si="245"/>
        <v>0</v>
      </c>
      <c r="BS54" s="134">
        <f t="shared" si="246"/>
        <v>0</v>
      </c>
      <c r="BT54" s="134">
        <f t="shared" si="247"/>
        <v>0</v>
      </c>
      <c r="BU54" s="134">
        <f t="shared" si="248"/>
        <v>0</v>
      </c>
      <c r="BV54" s="134">
        <f t="shared" si="249"/>
        <v>0</v>
      </c>
      <c r="BW54" s="134">
        <f t="shared" si="250"/>
        <v>0</v>
      </c>
      <c r="BX54" s="136"/>
      <c r="BY54" s="136"/>
      <c r="BZ54" s="136"/>
      <c r="CA54" s="136"/>
      <c r="CB54" s="136"/>
      <c r="CC54" s="136"/>
      <c r="CD54" s="136"/>
      <c r="CE54" s="136"/>
      <c r="CF54" s="136"/>
      <c r="CG54" s="136"/>
    </row>
    <row r="55" spans="1:85" ht="15.75" customHeight="1">
      <c r="A55" s="145"/>
      <c r="B55" s="146" t="s">
        <v>158</v>
      </c>
      <c r="C55" s="146" t="s">
        <v>148</v>
      </c>
      <c r="D55" s="138" t="s">
        <v>159</v>
      </c>
      <c r="E55" s="163">
        <v>0</v>
      </c>
      <c r="F55" s="148">
        <v>0</v>
      </c>
      <c r="G55" s="149">
        <v>0</v>
      </c>
      <c r="H55" s="148">
        <v>0</v>
      </c>
      <c r="I55" s="151">
        <f t="shared" si="232"/>
        <v>0</v>
      </c>
      <c r="J55" s="151">
        <f t="shared" si="233"/>
        <v>0</v>
      </c>
      <c r="K55" s="152">
        <v>0</v>
      </c>
      <c r="L55" s="153">
        <v>35845.83</v>
      </c>
      <c r="M55" s="154">
        <v>0</v>
      </c>
      <c r="N55" s="154">
        <v>0</v>
      </c>
      <c r="O55" s="155">
        <f t="shared" ref="O55:Q55" si="257">AA55+AD55+AG55+AJ55+AM55+AP55+AS55+AV55+AY55+BB55+BE55+BH55</f>
        <v>0</v>
      </c>
      <c r="P55" s="155">
        <f t="shared" si="257"/>
        <v>35845.83</v>
      </c>
      <c r="Q55" s="155">
        <f t="shared" si="257"/>
        <v>0</v>
      </c>
      <c r="R55" s="155">
        <f t="shared" ref="R55:T55" si="258">IF(BK55=0,SUM(AA55+AD55+AG55+AJ55+AM55+AP55+AS55+AV55+AY55+BB55+BE55+BH55),BK55)</f>
        <v>0</v>
      </c>
      <c r="S55" s="155">
        <f t="shared" si="258"/>
        <v>35845.83</v>
      </c>
      <c r="T55" s="155">
        <f t="shared" si="258"/>
        <v>0</v>
      </c>
      <c r="U55" s="156">
        <f t="shared" si="209"/>
        <v>0</v>
      </c>
      <c r="V55" s="63">
        <f t="shared" si="210"/>
        <v>0</v>
      </c>
      <c r="W55" s="155">
        <f t="shared" si="211"/>
        <v>0</v>
      </c>
      <c r="X55" s="157">
        <f t="shared" ref="X55:Y55" si="259">IF(O55&gt;0,O55/K55,0)</f>
        <v>0</v>
      </c>
      <c r="Y55" s="157">
        <f t="shared" si="259"/>
        <v>1</v>
      </c>
      <c r="Z55" s="157">
        <f t="shared" si="240"/>
        <v>0</v>
      </c>
      <c r="AA55" s="152"/>
      <c r="AB55" s="152"/>
      <c r="AC55" s="158"/>
      <c r="AD55" s="158"/>
      <c r="AE55" s="159"/>
      <c r="AF55" s="159"/>
      <c r="AG55" s="159"/>
      <c r="AH55" s="159"/>
      <c r="AI55" s="158"/>
      <c r="AJ55" s="152"/>
      <c r="AK55" s="158"/>
      <c r="AL55" s="158"/>
      <c r="AM55" s="152"/>
      <c r="AN55" s="158">
        <f>7119.46</f>
        <v>7119.46</v>
      </c>
      <c r="AO55" s="158"/>
      <c r="AP55" s="152"/>
      <c r="AQ55" s="158">
        <f>6674.69+7229.94+7503.54+7318.2</f>
        <v>28726.37</v>
      </c>
      <c r="AR55" s="158"/>
      <c r="AS55" s="158"/>
      <c r="AT55" s="158"/>
      <c r="AU55" s="158"/>
      <c r="AV55" s="158"/>
      <c r="AW55" s="158"/>
      <c r="AX55" s="158"/>
      <c r="AY55" s="158"/>
      <c r="AZ55" s="158"/>
      <c r="BA55" s="158"/>
      <c r="BB55" s="158"/>
      <c r="BC55" s="158"/>
      <c r="BD55" s="158"/>
      <c r="BE55" s="158"/>
      <c r="BF55" s="158"/>
      <c r="BG55" s="158"/>
      <c r="BH55" s="158"/>
      <c r="BI55" s="158"/>
      <c r="BJ55" s="158"/>
      <c r="BK55" s="65">
        <v>0</v>
      </c>
      <c r="BL55" s="65">
        <v>0</v>
      </c>
      <c r="BM55" s="152">
        <v>0</v>
      </c>
      <c r="BN55" s="160">
        <f t="shared" si="241"/>
        <v>0</v>
      </c>
      <c r="BO55" s="161">
        <f t="shared" si="242"/>
        <v>0</v>
      </c>
      <c r="BP55" s="158">
        <f t="shared" si="243"/>
        <v>0</v>
      </c>
      <c r="BQ55" s="158">
        <f t="shared" si="244"/>
        <v>0</v>
      </c>
      <c r="BR55" s="158">
        <f t="shared" si="245"/>
        <v>0</v>
      </c>
      <c r="BS55" s="158">
        <f t="shared" si="246"/>
        <v>0</v>
      </c>
      <c r="BT55" s="158">
        <f t="shared" si="247"/>
        <v>0</v>
      </c>
      <c r="BU55" s="158">
        <f t="shared" si="248"/>
        <v>0</v>
      </c>
      <c r="BV55" s="158">
        <f t="shared" si="249"/>
        <v>0</v>
      </c>
      <c r="BW55" s="158">
        <f t="shared" si="250"/>
        <v>0</v>
      </c>
      <c r="BX55" s="136"/>
      <c r="BY55" s="136"/>
      <c r="BZ55" s="136"/>
      <c r="CA55" s="136"/>
      <c r="CB55" s="136"/>
      <c r="CC55" s="136"/>
      <c r="CD55" s="136"/>
      <c r="CE55" s="136"/>
      <c r="CF55" s="136"/>
      <c r="CG55" s="136"/>
    </row>
    <row r="56" spans="1:85" ht="15.75" customHeight="1">
      <c r="A56" s="145"/>
      <c r="B56" s="146" t="s">
        <v>160</v>
      </c>
      <c r="C56" s="146" t="s">
        <v>148</v>
      </c>
      <c r="D56" s="138" t="s">
        <v>161</v>
      </c>
      <c r="E56" s="163">
        <v>0</v>
      </c>
      <c r="F56" s="148">
        <v>0</v>
      </c>
      <c r="G56" s="149">
        <v>0</v>
      </c>
      <c r="H56" s="148">
        <v>0</v>
      </c>
      <c r="I56" s="151">
        <f t="shared" si="232"/>
        <v>0</v>
      </c>
      <c r="J56" s="151">
        <f t="shared" si="233"/>
        <v>0</v>
      </c>
      <c r="K56" s="152">
        <v>0</v>
      </c>
      <c r="L56" s="153">
        <v>28159.14</v>
      </c>
      <c r="M56" s="154">
        <v>0</v>
      </c>
      <c r="N56" s="154">
        <v>0</v>
      </c>
      <c r="O56" s="155">
        <f t="shared" ref="O56:Q56" si="260">AA56+AD56+AG56+AJ56+AM56+AP56+AS56+AV56+AY56+BB56+BE56+BH56</f>
        <v>0</v>
      </c>
      <c r="P56" s="155">
        <f t="shared" si="260"/>
        <v>28159.14</v>
      </c>
      <c r="Q56" s="155">
        <f t="shared" si="260"/>
        <v>0</v>
      </c>
      <c r="R56" s="155">
        <f t="shared" ref="R56:T56" si="261">IF(BK56=0,SUM(AA56+AD56+AG56+AJ56+AM56+AP56+AS56+AV56+AY56+BB56+BE56+BH56),BK56)</f>
        <v>0</v>
      </c>
      <c r="S56" s="155">
        <f t="shared" si="261"/>
        <v>28159.14</v>
      </c>
      <c r="T56" s="155">
        <f t="shared" si="261"/>
        <v>0</v>
      </c>
      <c r="U56" s="156">
        <f t="shared" si="209"/>
        <v>0</v>
      </c>
      <c r="V56" s="116">
        <f t="shared" si="210"/>
        <v>0</v>
      </c>
      <c r="W56" s="155">
        <f t="shared" si="211"/>
        <v>0</v>
      </c>
      <c r="X56" s="157">
        <f t="shared" ref="X56:Y56" si="262">IF(O56&gt;0,O56/K56,0)</f>
        <v>0</v>
      </c>
      <c r="Y56" s="157">
        <f t="shared" si="262"/>
        <v>1</v>
      </c>
      <c r="Z56" s="157">
        <f t="shared" si="240"/>
        <v>0</v>
      </c>
      <c r="AA56" s="152"/>
      <c r="AB56" s="152"/>
      <c r="AC56" s="158"/>
      <c r="AD56" s="158"/>
      <c r="AE56" s="159"/>
      <c r="AF56" s="159"/>
      <c r="AG56" s="159"/>
      <c r="AH56" s="159"/>
      <c r="AI56" s="158"/>
      <c r="AJ56" s="152"/>
      <c r="AK56" s="154">
        <v>13833.24</v>
      </c>
      <c r="AL56" s="158"/>
      <c r="AM56" s="152"/>
      <c r="AN56" s="158">
        <f>527.31+6898.8</f>
        <v>7426.1100000000006</v>
      </c>
      <c r="AO56" s="158"/>
      <c r="AP56" s="152"/>
      <c r="AQ56" s="158">
        <f>6899.79</f>
        <v>6899.79</v>
      </c>
      <c r="AR56" s="158"/>
      <c r="AS56" s="158"/>
      <c r="AT56" s="158"/>
      <c r="AU56" s="158"/>
      <c r="AV56" s="158"/>
      <c r="AW56" s="158"/>
      <c r="AX56" s="158"/>
      <c r="AY56" s="158"/>
      <c r="AZ56" s="158"/>
      <c r="BA56" s="158"/>
      <c r="BB56" s="158"/>
      <c r="BC56" s="158"/>
      <c r="BD56" s="158"/>
      <c r="BE56" s="158"/>
      <c r="BF56" s="158"/>
      <c r="BG56" s="158"/>
      <c r="BH56" s="158"/>
      <c r="BI56" s="158"/>
      <c r="BJ56" s="158"/>
      <c r="BK56" s="65">
        <v>0</v>
      </c>
      <c r="BL56" s="65">
        <v>0</v>
      </c>
      <c r="BM56" s="152">
        <v>0</v>
      </c>
      <c r="BN56" s="160">
        <f t="shared" si="241"/>
        <v>0</v>
      </c>
      <c r="BO56" s="161">
        <f t="shared" si="242"/>
        <v>0</v>
      </c>
      <c r="BP56" s="158">
        <f t="shared" si="243"/>
        <v>0</v>
      </c>
      <c r="BQ56" s="158">
        <f t="shared" si="244"/>
        <v>0</v>
      </c>
      <c r="BR56" s="158">
        <f t="shared" si="245"/>
        <v>0</v>
      </c>
      <c r="BS56" s="158">
        <f t="shared" si="246"/>
        <v>0</v>
      </c>
      <c r="BT56" s="158">
        <f t="shared" si="247"/>
        <v>0</v>
      </c>
      <c r="BU56" s="158">
        <f t="shared" si="248"/>
        <v>0</v>
      </c>
      <c r="BV56" s="158">
        <f t="shared" si="249"/>
        <v>0</v>
      </c>
      <c r="BW56" s="158">
        <f t="shared" si="250"/>
        <v>0</v>
      </c>
      <c r="BX56" s="136"/>
      <c r="BY56" s="136"/>
      <c r="BZ56" s="136"/>
      <c r="CA56" s="136"/>
      <c r="CB56" s="136"/>
      <c r="CC56" s="136"/>
      <c r="CD56" s="136"/>
      <c r="CE56" s="136"/>
      <c r="CF56" s="136"/>
      <c r="CG56" s="136"/>
    </row>
    <row r="57" spans="1:85" ht="15.75" customHeight="1">
      <c r="A57" s="145"/>
      <c r="B57" s="146" t="s">
        <v>162</v>
      </c>
      <c r="C57" s="146" t="s">
        <v>163</v>
      </c>
      <c r="D57" s="164" t="s">
        <v>164</v>
      </c>
      <c r="E57" s="163">
        <v>0</v>
      </c>
      <c r="F57" s="148">
        <v>0</v>
      </c>
      <c r="G57" s="165">
        <f t="shared" ref="G57:G58" si="263">E57-F57</f>
        <v>0</v>
      </c>
      <c r="H57" s="148">
        <v>0</v>
      </c>
      <c r="I57" s="151">
        <f t="shared" si="232"/>
        <v>0</v>
      </c>
      <c r="J57" s="151">
        <f t="shared" si="233"/>
        <v>0</v>
      </c>
      <c r="K57" s="152">
        <v>0</v>
      </c>
      <c r="L57" s="153">
        <v>2155.36</v>
      </c>
      <c r="M57" s="154">
        <v>0</v>
      </c>
      <c r="N57" s="154">
        <v>0</v>
      </c>
      <c r="O57" s="155">
        <f t="shared" ref="O57:Q57" si="264">AA57+AD57+AG57+AJ57+AM57+AP57+AS57+AV57+AY57+BB57+BE57+BH57</f>
        <v>0</v>
      </c>
      <c r="P57" s="155">
        <f t="shared" si="264"/>
        <v>2155.36</v>
      </c>
      <c r="Q57" s="155">
        <f t="shared" si="264"/>
        <v>0</v>
      </c>
      <c r="R57" s="155">
        <f t="shared" ref="R57:T57" si="265">IF(BK57=0,SUM(AA57+AD57+AG57+AJ57+AM57+AP57+AS57+AV57+AY57+BB57+BE57+BH57),BK57)</f>
        <v>0</v>
      </c>
      <c r="S57" s="155">
        <f t="shared" si="265"/>
        <v>2155.36</v>
      </c>
      <c r="T57" s="155">
        <f t="shared" si="265"/>
        <v>0</v>
      </c>
      <c r="U57" s="156">
        <f t="shared" si="209"/>
        <v>0</v>
      </c>
      <c r="V57" s="63">
        <f t="shared" si="210"/>
        <v>0</v>
      </c>
      <c r="W57" s="155">
        <f t="shared" si="211"/>
        <v>0</v>
      </c>
      <c r="X57" s="157">
        <f t="shared" ref="X57:Y57" si="266">IF(O57&gt;0,O57/K57,0)</f>
        <v>0</v>
      </c>
      <c r="Y57" s="157">
        <f t="shared" si="266"/>
        <v>1</v>
      </c>
      <c r="Z57" s="157">
        <f t="shared" si="240"/>
        <v>0</v>
      </c>
      <c r="AA57" s="158"/>
      <c r="AB57" s="152"/>
      <c r="AC57" s="158"/>
      <c r="AD57" s="158"/>
      <c r="AE57" s="159"/>
      <c r="AF57" s="159"/>
      <c r="AG57" s="159"/>
      <c r="AH57" s="166">
        <v>2155.36</v>
      </c>
      <c r="AI57" s="158"/>
      <c r="AJ57" s="158"/>
      <c r="AK57" s="158"/>
      <c r="AL57" s="158"/>
      <c r="AM57" s="152"/>
      <c r="AN57" s="158"/>
      <c r="AO57" s="158"/>
      <c r="AP57" s="158"/>
      <c r="AQ57" s="158"/>
      <c r="AR57" s="158"/>
      <c r="AS57" s="152"/>
      <c r="AT57" s="158"/>
      <c r="AU57" s="158"/>
      <c r="AV57" s="158"/>
      <c r="AW57" s="158"/>
      <c r="AX57" s="158"/>
      <c r="AY57" s="158"/>
      <c r="AZ57" s="158"/>
      <c r="BA57" s="158"/>
      <c r="BB57" s="158"/>
      <c r="BC57" s="158"/>
      <c r="BD57" s="158"/>
      <c r="BE57" s="158"/>
      <c r="BF57" s="158"/>
      <c r="BG57" s="158"/>
      <c r="BH57" s="158"/>
      <c r="BI57" s="158"/>
      <c r="BJ57" s="158"/>
      <c r="BK57" s="65">
        <v>0</v>
      </c>
      <c r="BL57" s="65">
        <v>0</v>
      </c>
      <c r="BM57" s="152">
        <v>0</v>
      </c>
      <c r="BN57" s="160">
        <f t="shared" si="241"/>
        <v>0</v>
      </c>
      <c r="BO57" s="161">
        <f t="shared" si="242"/>
        <v>0</v>
      </c>
      <c r="BP57" s="158">
        <f t="shared" si="243"/>
        <v>0</v>
      </c>
      <c r="BQ57" s="158">
        <f t="shared" si="244"/>
        <v>0</v>
      </c>
      <c r="BR57" s="158">
        <f t="shared" si="245"/>
        <v>0</v>
      </c>
      <c r="BS57" s="158">
        <f t="shared" si="246"/>
        <v>0</v>
      </c>
      <c r="BT57" s="158">
        <f t="shared" si="247"/>
        <v>0</v>
      </c>
      <c r="BU57" s="158">
        <f t="shared" si="248"/>
        <v>0</v>
      </c>
      <c r="BV57" s="158">
        <f t="shared" si="249"/>
        <v>0</v>
      </c>
      <c r="BW57" s="158">
        <f t="shared" si="250"/>
        <v>0</v>
      </c>
      <c r="BX57" s="136"/>
      <c r="BY57" s="136"/>
      <c r="BZ57" s="136"/>
      <c r="CA57" s="136"/>
      <c r="CB57" s="136"/>
      <c r="CC57" s="136"/>
      <c r="CD57" s="136"/>
      <c r="CE57" s="136"/>
      <c r="CF57" s="136"/>
      <c r="CG57" s="136"/>
    </row>
    <row r="58" spans="1:85" ht="15.75" customHeight="1">
      <c r="A58" s="104" t="s">
        <v>165</v>
      </c>
      <c r="B58" s="119" t="s">
        <v>166</v>
      </c>
      <c r="C58" s="71" t="s">
        <v>163</v>
      </c>
      <c r="D58" s="73" t="s">
        <v>167</v>
      </c>
      <c r="E58" s="56">
        <v>366600</v>
      </c>
      <c r="F58" s="57">
        <v>0</v>
      </c>
      <c r="G58" s="58">
        <f t="shared" si="263"/>
        <v>366600</v>
      </c>
      <c r="H58" s="57">
        <v>0</v>
      </c>
      <c r="I58" s="59">
        <f t="shared" ref="I58:I155" si="267">IF(G58&gt;0,K58/G58,0)</f>
        <v>1.3975499181669395</v>
      </c>
      <c r="J58" s="59">
        <f t="shared" ref="J58:J155" si="268">IF(G58&gt;0,O58/G58,0)</f>
        <v>0.59077154937261322</v>
      </c>
      <c r="K58" s="74">
        <f>85390.3+42695.15+42695.15+170780.6+170780.6</f>
        <v>512341.80000000005</v>
      </c>
      <c r="L58" s="74">
        <v>9095.36</v>
      </c>
      <c r="M58" s="74">
        <v>0</v>
      </c>
      <c r="N58" s="74">
        <v>0</v>
      </c>
      <c r="O58" s="116">
        <f t="shared" ref="O58:Q58" si="269">AA58+AD58+AG58+AJ58+AM58+AP58+AS58+AV58+AY58+BB58+BE58+BH58</f>
        <v>216576.85</v>
      </c>
      <c r="P58" s="61">
        <f t="shared" si="269"/>
        <v>9095.36</v>
      </c>
      <c r="Q58" s="61">
        <f t="shared" si="269"/>
        <v>0</v>
      </c>
      <c r="R58" s="61">
        <f t="shared" ref="R58:T58" si="270">IF(BK58=0,SUM(AA58+AD58+AG58+AJ58+AM58+AP58+AS58+AV58+AY58+BB58+BE58+BH58),BK58)</f>
        <v>216576.85</v>
      </c>
      <c r="S58" s="61">
        <f t="shared" si="270"/>
        <v>9095.36</v>
      </c>
      <c r="T58" s="61">
        <f t="shared" si="270"/>
        <v>0</v>
      </c>
      <c r="U58" s="62">
        <f t="shared" si="209"/>
        <v>295764.95000000007</v>
      </c>
      <c r="V58" s="63">
        <f t="shared" si="210"/>
        <v>0</v>
      </c>
      <c r="W58" s="63">
        <f t="shared" si="211"/>
        <v>0</v>
      </c>
      <c r="X58" s="64">
        <f t="shared" ref="X58:Y58" si="271">IF(O58&gt;0,O58/K58,0)</f>
        <v>0.4227194618904801</v>
      </c>
      <c r="Y58" s="64">
        <f t="shared" si="271"/>
        <v>1</v>
      </c>
      <c r="Z58" s="64">
        <f t="shared" ref="Z58:Z100" si="272">IF(Q58&gt;0,Q58/N58,0)</f>
        <v>0</v>
      </c>
      <c r="AA58" s="65"/>
      <c r="AB58" s="65"/>
      <c r="AC58" s="65"/>
      <c r="AD58" s="100">
        <v>42695.15</v>
      </c>
      <c r="AE58" s="66">
        <f>4398.89+4696.47</f>
        <v>9095.36</v>
      </c>
      <c r="AF58" s="66"/>
      <c r="AG58" s="113">
        <v>42695.15</v>
      </c>
      <c r="AH58" s="66"/>
      <c r="AI58" s="65"/>
      <c r="AJ58" s="100">
        <f>42695.15+42498.54-42695.15</f>
        <v>42498.54</v>
      </c>
      <c r="AK58" s="65"/>
      <c r="AL58" s="65"/>
      <c r="AM58" s="100">
        <v>42327.76</v>
      </c>
      <c r="AN58" s="65"/>
      <c r="AO58" s="65"/>
      <c r="AP58" s="65">
        <f>46360.25</f>
        <v>46360.25</v>
      </c>
      <c r="AQ58" s="65"/>
      <c r="AR58" s="65"/>
      <c r="AS58" s="65"/>
      <c r="AT58" s="65"/>
      <c r="AU58" s="65"/>
      <c r="AV58" s="65"/>
      <c r="AW58" s="65"/>
      <c r="AX58" s="65"/>
      <c r="AY58" s="65"/>
      <c r="AZ58" s="65"/>
      <c r="BA58" s="65"/>
      <c r="BB58" s="65"/>
      <c r="BC58" s="65"/>
      <c r="BD58" s="65"/>
      <c r="BE58" s="65"/>
      <c r="BF58" s="65"/>
      <c r="BG58" s="65"/>
      <c r="BH58" s="65"/>
      <c r="BI58" s="65"/>
      <c r="BJ58" s="65"/>
      <c r="BK58" s="65">
        <v>0</v>
      </c>
      <c r="BL58" s="65">
        <v>0</v>
      </c>
      <c r="BM58" s="65">
        <v>0</v>
      </c>
      <c r="BN58" s="65">
        <f>IF(O58-BK58&gt;0,O58-BK58,0)</f>
        <v>216576.85</v>
      </c>
      <c r="BO58" s="67">
        <f>IF(Q58-BM58&gt;0,Q58-BM58,0)</f>
        <v>0</v>
      </c>
      <c r="BP58" s="65">
        <f>IF(BN58+BO58&gt;0,BN58+BO58,0)</f>
        <v>216576.85</v>
      </c>
      <c r="BQ58" s="65">
        <f>IF(U58=0,0,U58)</f>
        <v>295764.95000000007</v>
      </c>
      <c r="BR58" s="65">
        <f>IF(W58=0,0,W58)</f>
        <v>0</v>
      </c>
      <c r="BS58" s="65">
        <f>IF(BQ58+BR58&gt;0,BQ58+BR58,0)</f>
        <v>295764.95000000007</v>
      </c>
      <c r="BT58" s="65">
        <f>IF(V58&gt;0,V58,0)</f>
        <v>0</v>
      </c>
      <c r="BU58" s="65">
        <f>IF(BP58=0,0,BP58)</f>
        <v>216576.85</v>
      </c>
      <c r="BV58" s="65">
        <f>IF(BS58=0,0,BS58)</f>
        <v>295764.95000000007</v>
      </c>
      <c r="BW58" s="65">
        <f>IF(BP58+BT58+BV58&gt;0,BP58+BT58+BV58,0)</f>
        <v>512341.80000000005</v>
      </c>
      <c r="BX58" s="6"/>
      <c r="BY58" s="6"/>
      <c r="BZ58" s="6"/>
      <c r="CA58" s="6"/>
      <c r="CB58" s="6"/>
      <c r="CC58" s="6"/>
      <c r="CD58" s="6"/>
      <c r="CE58" s="6"/>
      <c r="CF58" s="6"/>
      <c r="CG58" s="6"/>
    </row>
    <row r="59" spans="1:85" ht="15.75">
      <c r="A59" s="75"/>
      <c r="B59" s="76"/>
      <c r="C59" s="77"/>
      <c r="D59" s="78" t="s">
        <v>168</v>
      </c>
      <c r="E59" s="45">
        <f t="shared" ref="E59:H59" si="273">SUM(E60:E85)</f>
        <v>263000</v>
      </c>
      <c r="F59" s="46">
        <f t="shared" si="273"/>
        <v>0</v>
      </c>
      <c r="G59" s="46">
        <f t="shared" si="273"/>
        <v>263000</v>
      </c>
      <c r="H59" s="46">
        <f t="shared" si="273"/>
        <v>0</v>
      </c>
      <c r="I59" s="47">
        <f t="shared" si="267"/>
        <v>0.29594486692015209</v>
      </c>
      <c r="J59" s="47">
        <f t="shared" si="268"/>
        <v>4.6041216730038026E-2</v>
      </c>
      <c r="K59" s="46">
        <f t="shared" ref="K59:W59" si="274">SUM(K60:K85)</f>
        <v>77833.5</v>
      </c>
      <c r="L59" s="46">
        <f t="shared" si="274"/>
        <v>65853.790000000008</v>
      </c>
      <c r="M59" s="46">
        <f t="shared" si="274"/>
        <v>0</v>
      </c>
      <c r="N59" s="46">
        <f t="shared" si="274"/>
        <v>0</v>
      </c>
      <c r="O59" s="46">
        <f t="shared" si="274"/>
        <v>12108.84</v>
      </c>
      <c r="P59" s="46">
        <f t="shared" si="274"/>
        <v>35328.06</v>
      </c>
      <c r="Q59" s="46">
        <f t="shared" si="274"/>
        <v>0</v>
      </c>
      <c r="R59" s="46">
        <f t="shared" si="274"/>
        <v>12108.84</v>
      </c>
      <c r="S59" s="46">
        <f t="shared" si="274"/>
        <v>35328.06</v>
      </c>
      <c r="T59" s="46">
        <f t="shared" si="274"/>
        <v>0</v>
      </c>
      <c r="U59" s="46">
        <f t="shared" si="274"/>
        <v>65724.66</v>
      </c>
      <c r="V59" s="46">
        <f t="shared" si="274"/>
        <v>30525.730000000003</v>
      </c>
      <c r="W59" s="46">
        <f t="shared" si="274"/>
        <v>0</v>
      </c>
      <c r="X59" s="50">
        <f t="shared" ref="X59:Y59" si="275">IF(O59&gt;0,O59/K59,0)</f>
        <v>0.15557362832199503</v>
      </c>
      <c r="Y59" s="50">
        <f t="shared" si="275"/>
        <v>0.53646206239610494</v>
      </c>
      <c r="Z59" s="50">
        <f t="shared" si="272"/>
        <v>0</v>
      </c>
      <c r="AA59" s="46">
        <f t="shared" ref="AA59:BW59" si="276">SUM(AA60:AA85)</f>
        <v>253.8</v>
      </c>
      <c r="AB59" s="46">
        <f t="shared" si="276"/>
        <v>455.68</v>
      </c>
      <c r="AC59" s="46">
        <f t="shared" si="276"/>
        <v>0</v>
      </c>
      <c r="AD59" s="46">
        <f t="shared" si="276"/>
        <v>0</v>
      </c>
      <c r="AE59" s="46">
        <f t="shared" si="276"/>
        <v>10174.99</v>
      </c>
      <c r="AF59" s="46">
        <f t="shared" si="276"/>
        <v>0</v>
      </c>
      <c r="AG59" s="46">
        <f t="shared" si="276"/>
        <v>2103.39</v>
      </c>
      <c r="AH59" s="46">
        <f t="shared" si="276"/>
        <v>83.76</v>
      </c>
      <c r="AI59" s="46">
        <f t="shared" si="276"/>
        <v>0</v>
      </c>
      <c r="AJ59" s="46">
        <f t="shared" si="276"/>
        <v>1839.22</v>
      </c>
      <c r="AK59" s="46">
        <f t="shared" si="276"/>
        <v>20.399999999999999</v>
      </c>
      <c r="AL59" s="46">
        <f t="shared" si="276"/>
        <v>0</v>
      </c>
      <c r="AM59" s="46">
        <f t="shared" si="276"/>
        <v>2000.3300000000002</v>
      </c>
      <c r="AN59" s="46">
        <f t="shared" si="276"/>
        <v>24460</v>
      </c>
      <c r="AO59" s="46">
        <f t="shared" si="276"/>
        <v>0</v>
      </c>
      <c r="AP59" s="46">
        <f t="shared" si="276"/>
        <v>5912.1</v>
      </c>
      <c r="AQ59" s="46">
        <f t="shared" si="276"/>
        <v>133.22999999999999</v>
      </c>
      <c r="AR59" s="46">
        <f t="shared" si="276"/>
        <v>0</v>
      </c>
      <c r="AS59" s="46">
        <f t="shared" si="276"/>
        <v>0</v>
      </c>
      <c r="AT59" s="46">
        <f t="shared" si="276"/>
        <v>0</v>
      </c>
      <c r="AU59" s="46">
        <f t="shared" si="276"/>
        <v>0</v>
      </c>
      <c r="AV59" s="46">
        <f t="shared" si="276"/>
        <v>0</v>
      </c>
      <c r="AW59" s="46">
        <f t="shared" si="276"/>
        <v>0</v>
      </c>
      <c r="AX59" s="46">
        <f t="shared" si="276"/>
        <v>0</v>
      </c>
      <c r="AY59" s="46">
        <f t="shared" si="276"/>
        <v>0</v>
      </c>
      <c r="AZ59" s="46">
        <f t="shared" si="276"/>
        <v>0</v>
      </c>
      <c r="BA59" s="46">
        <f t="shared" si="276"/>
        <v>0</v>
      </c>
      <c r="BB59" s="46">
        <f t="shared" si="276"/>
        <v>0</v>
      </c>
      <c r="BC59" s="46">
        <f t="shared" si="276"/>
        <v>0</v>
      </c>
      <c r="BD59" s="46">
        <f t="shared" si="276"/>
        <v>0</v>
      </c>
      <c r="BE59" s="46">
        <f t="shared" si="276"/>
        <v>0</v>
      </c>
      <c r="BF59" s="46">
        <f t="shared" si="276"/>
        <v>0</v>
      </c>
      <c r="BG59" s="46">
        <f t="shared" si="276"/>
        <v>0</v>
      </c>
      <c r="BH59" s="46">
        <f t="shared" si="276"/>
        <v>0</v>
      </c>
      <c r="BI59" s="46">
        <f t="shared" si="276"/>
        <v>0</v>
      </c>
      <c r="BJ59" s="46">
        <f t="shared" si="276"/>
        <v>0</v>
      </c>
      <c r="BK59" s="46">
        <f t="shared" si="276"/>
        <v>0</v>
      </c>
      <c r="BL59" s="46">
        <f t="shared" si="276"/>
        <v>0</v>
      </c>
      <c r="BM59" s="46">
        <f t="shared" si="276"/>
        <v>0</v>
      </c>
      <c r="BN59" s="46">
        <f t="shared" si="276"/>
        <v>12108.84</v>
      </c>
      <c r="BO59" s="46">
        <f t="shared" si="276"/>
        <v>0</v>
      </c>
      <c r="BP59" s="46">
        <f t="shared" si="276"/>
        <v>12108.84</v>
      </c>
      <c r="BQ59" s="46">
        <f t="shared" si="276"/>
        <v>65724.66</v>
      </c>
      <c r="BR59" s="46">
        <f t="shared" si="276"/>
        <v>0</v>
      </c>
      <c r="BS59" s="46">
        <f t="shared" si="276"/>
        <v>65724.66</v>
      </c>
      <c r="BT59" s="46">
        <f t="shared" si="276"/>
        <v>30525.730000000003</v>
      </c>
      <c r="BU59" s="46">
        <f t="shared" si="276"/>
        <v>12108.84</v>
      </c>
      <c r="BV59" s="46">
        <f t="shared" si="276"/>
        <v>65724.66</v>
      </c>
      <c r="BW59" s="46">
        <f t="shared" si="276"/>
        <v>108359.23000000001</v>
      </c>
      <c r="BX59" s="51"/>
      <c r="BY59" s="51"/>
      <c r="BZ59" s="51"/>
      <c r="CA59" s="51"/>
      <c r="CB59" s="51"/>
      <c r="CC59" s="51"/>
      <c r="CD59" s="51"/>
      <c r="CE59" s="51"/>
      <c r="CF59" s="51"/>
      <c r="CG59" s="51"/>
    </row>
    <row r="60" spans="1:85" ht="15.75" customHeight="1">
      <c r="A60" s="54"/>
      <c r="B60" s="102"/>
      <c r="C60" s="54" t="s">
        <v>169</v>
      </c>
      <c r="D60" s="167"/>
      <c r="E60" s="57">
        <v>0</v>
      </c>
      <c r="F60" s="57">
        <v>0</v>
      </c>
      <c r="G60" s="58">
        <f t="shared" ref="G60:G85" si="277">E60-F60</f>
        <v>0</v>
      </c>
      <c r="H60" s="57">
        <v>0</v>
      </c>
      <c r="I60" s="59">
        <f t="shared" si="267"/>
        <v>0</v>
      </c>
      <c r="J60" s="59">
        <f t="shared" si="268"/>
        <v>0</v>
      </c>
      <c r="K60" s="74">
        <v>0</v>
      </c>
      <c r="L60" s="74">
        <v>0</v>
      </c>
      <c r="M60" s="74">
        <v>0</v>
      </c>
      <c r="N60" s="74">
        <v>0</v>
      </c>
      <c r="O60" s="61">
        <f t="shared" ref="O60:Q60" si="278">AA60+AD60+AG60+AJ60+AM60+AP60+AS60+AV60+AY60+BB60+BE60+BH60</f>
        <v>0</v>
      </c>
      <c r="P60" s="61">
        <f t="shared" si="278"/>
        <v>0</v>
      </c>
      <c r="Q60" s="61">
        <f t="shared" si="278"/>
        <v>0</v>
      </c>
      <c r="R60" s="61">
        <f t="shared" ref="R60:T60" si="279">IF(BK60=0,SUM(AA60+AD60+AG60+AJ60+AM60+AP60+AS60+AV60+AY60+BB60+BE60+BH60),BK60)</f>
        <v>0</v>
      </c>
      <c r="S60" s="61">
        <f t="shared" si="279"/>
        <v>0</v>
      </c>
      <c r="T60" s="61">
        <f t="shared" si="279"/>
        <v>0</v>
      </c>
      <c r="U60" s="63">
        <f t="shared" ref="U60:U85" si="280">K60-O60</f>
        <v>0</v>
      </c>
      <c r="V60" s="63">
        <f t="shared" ref="V60:V85" si="281">L60-M60-S60</f>
        <v>0</v>
      </c>
      <c r="W60" s="63">
        <f t="shared" ref="W60:W85" si="282">N60-Q60</f>
        <v>0</v>
      </c>
      <c r="X60" s="64">
        <f t="shared" ref="X60:Y60" si="283">IF(O60&gt;0,O60/K60,0)</f>
        <v>0</v>
      </c>
      <c r="Y60" s="64">
        <f t="shared" si="283"/>
        <v>0</v>
      </c>
      <c r="Z60" s="64">
        <f t="shared" si="272"/>
        <v>0</v>
      </c>
      <c r="AA60" s="65"/>
      <c r="AB60" s="65"/>
      <c r="AC60" s="65"/>
      <c r="AD60" s="65"/>
      <c r="AE60" s="66"/>
      <c r="AF60" s="66"/>
      <c r="AG60" s="66"/>
      <c r="AH60" s="66"/>
      <c r="AI60" s="65"/>
      <c r="AJ60" s="65"/>
      <c r="AK60" s="65"/>
      <c r="AL60" s="65"/>
      <c r="AM60" s="65"/>
      <c r="AN60" s="65"/>
      <c r="AO60" s="65"/>
      <c r="AP60" s="65"/>
      <c r="AQ60" s="65"/>
      <c r="AR60" s="65"/>
      <c r="AS60" s="65"/>
      <c r="AT60" s="65"/>
      <c r="AU60" s="65"/>
      <c r="AV60" s="65"/>
      <c r="AW60" s="65"/>
      <c r="AX60" s="65"/>
      <c r="AY60" s="65"/>
      <c r="AZ60" s="65"/>
      <c r="BA60" s="65"/>
      <c r="BB60" s="65"/>
      <c r="BC60" s="65"/>
      <c r="BD60" s="65"/>
      <c r="BE60" s="65"/>
      <c r="BF60" s="65"/>
      <c r="BG60" s="65"/>
      <c r="BH60" s="65"/>
      <c r="BI60" s="65"/>
      <c r="BJ60" s="65"/>
      <c r="BK60" s="65">
        <v>0</v>
      </c>
      <c r="BL60" s="65">
        <v>0</v>
      </c>
      <c r="BM60" s="65">
        <v>0</v>
      </c>
      <c r="BN60" s="65">
        <f t="shared" ref="BN60:BN85" si="284">IF(O60-BK60&gt;0,O60-BK60,0)</f>
        <v>0</v>
      </c>
      <c r="BO60" s="67">
        <f t="shared" ref="BO60:BO85" si="285">IF(Q60-BM60&gt;0,Q60-BM60,0)</f>
        <v>0</v>
      </c>
      <c r="BP60" s="65">
        <f t="shared" ref="BP60:BP85" si="286">IF(BN60+BO60&gt;0,BN60+BO60,0)</f>
        <v>0</v>
      </c>
      <c r="BQ60" s="65">
        <f t="shared" ref="BQ60:BQ85" si="287">IF(U60=0,0,U60)</f>
        <v>0</v>
      </c>
      <c r="BR60" s="65">
        <f t="shared" ref="BR60:BR85" si="288">IF(W60=0,0,W60)</f>
        <v>0</v>
      </c>
      <c r="BS60" s="65">
        <f t="shared" ref="BS60:BS85" si="289">IF(BQ60+BR60&gt;0,BQ60+BR60,0)</f>
        <v>0</v>
      </c>
      <c r="BT60" s="65">
        <f t="shared" ref="BT60:BT85" si="290">IF(V60&gt;0,V60,0)</f>
        <v>0</v>
      </c>
      <c r="BU60" s="65">
        <f t="shared" ref="BU60:BU85" si="291">IF(BP60=0,0,BP60)</f>
        <v>0</v>
      </c>
      <c r="BV60" s="65">
        <f t="shared" ref="BV60:BV85" si="292">IF(BS60=0,0,BS60)</f>
        <v>0</v>
      </c>
      <c r="BW60" s="65">
        <f t="shared" ref="BW60:BW85" si="293">IF(BP60+BT60+BV60&gt;0,BP60+BT60+BV60,0)</f>
        <v>0</v>
      </c>
      <c r="BX60" s="6"/>
      <c r="BY60" s="6"/>
      <c r="BZ60" s="6"/>
      <c r="CA60" s="6"/>
      <c r="CB60" s="6"/>
      <c r="CC60" s="6"/>
      <c r="CD60" s="6"/>
      <c r="CE60" s="6"/>
      <c r="CF60" s="6"/>
      <c r="CG60" s="6"/>
    </row>
    <row r="61" spans="1:85" ht="15.75" customHeight="1">
      <c r="A61" s="121"/>
      <c r="B61" s="168"/>
      <c r="C61" s="68" t="s">
        <v>170</v>
      </c>
      <c r="D61" s="70" t="s">
        <v>171</v>
      </c>
      <c r="E61" s="57">
        <v>0</v>
      </c>
      <c r="F61" s="57">
        <v>0</v>
      </c>
      <c r="G61" s="58">
        <f t="shared" si="277"/>
        <v>0</v>
      </c>
      <c r="H61" s="57">
        <v>0</v>
      </c>
      <c r="I61" s="59">
        <f t="shared" si="267"/>
        <v>0</v>
      </c>
      <c r="J61" s="59">
        <f t="shared" si="268"/>
        <v>0</v>
      </c>
      <c r="K61" s="74">
        <v>0</v>
      </c>
      <c r="L61" s="74">
        <v>2516.5</v>
      </c>
      <c r="M61" s="74">
        <v>0</v>
      </c>
      <c r="N61" s="74">
        <v>0</v>
      </c>
      <c r="O61" s="61">
        <f t="shared" ref="O61:Q61" si="294">AA61+AD61+AG61+AJ61+AM61+AP61+AS61+AV61+AY61+BB61+BE61+BH61</f>
        <v>0</v>
      </c>
      <c r="P61" s="61">
        <f t="shared" si="294"/>
        <v>0</v>
      </c>
      <c r="Q61" s="61">
        <f t="shared" si="294"/>
        <v>0</v>
      </c>
      <c r="R61" s="61">
        <f t="shared" ref="R61:T61" si="295">IF(BK61=0,SUM(AA61+AD61+AG61+AJ61+AM61+AP61+AS61+AV61+AY61+BB61+BE61+BH61),BK61)</f>
        <v>0</v>
      </c>
      <c r="S61" s="61">
        <f t="shared" si="295"/>
        <v>0</v>
      </c>
      <c r="T61" s="61">
        <f t="shared" si="295"/>
        <v>0</v>
      </c>
      <c r="U61" s="63">
        <f t="shared" si="280"/>
        <v>0</v>
      </c>
      <c r="V61" s="116">
        <f t="shared" si="281"/>
        <v>2516.5</v>
      </c>
      <c r="W61" s="63">
        <f t="shared" si="282"/>
        <v>0</v>
      </c>
      <c r="X61" s="64">
        <f t="shared" ref="X61:Y61" si="296">IF(O61&gt;0,O61/K61,0)</f>
        <v>0</v>
      </c>
      <c r="Y61" s="64">
        <f t="shared" si="296"/>
        <v>0</v>
      </c>
      <c r="Z61" s="64">
        <f t="shared" si="272"/>
        <v>0</v>
      </c>
      <c r="AA61" s="65"/>
      <c r="AB61" s="65"/>
      <c r="AC61" s="65"/>
      <c r="AD61" s="65"/>
      <c r="AE61" s="66"/>
      <c r="AF61" s="66"/>
      <c r="AG61" s="66"/>
      <c r="AH61" s="66"/>
      <c r="AI61" s="65"/>
      <c r="AJ61" s="65"/>
      <c r="AK61" s="65"/>
      <c r="AL61" s="65"/>
      <c r="AM61" s="65"/>
      <c r="AN61" s="65"/>
      <c r="AO61" s="65"/>
      <c r="AP61" s="65"/>
      <c r="AQ61" s="65"/>
      <c r="AR61" s="65"/>
      <c r="AS61" s="65"/>
      <c r="AT61" s="65"/>
      <c r="AU61" s="65"/>
      <c r="AV61" s="65"/>
      <c r="AW61" s="65"/>
      <c r="AX61" s="65"/>
      <c r="AY61" s="65"/>
      <c r="AZ61" s="65"/>
      <c r="BA61" s="65"/>
      <c r="BB61" s="65"/>
      <c r="BC61" s="65"/>
      <c r="BD61" s="65"/>
      <c r="BE61" s="65"/>
      <c r="BF61" s="65"/>
      <c r="BG61" s="65"/>
      <c r="BH61" s="65"/>
      <c r="BI61" s="65"/>
      <c r="BJ61" s="65"/>
      <c r="BK61" s="65">
        <v>0</v>
      </c>
      <c r="BL61" s="65">
        <v>0</v>
      </c>
      <c r="BM61" s="65">
        <v>0</v>
      </c>
      <c r="BN61" s="65">
        <f t="shared" si="284"/>
        <v>0</v>
      </c>
      <c r="BO61" s="67">
        <f t="shared" si="285"/>
        <v>0</v>
      </c>
      <c r="BP61" s="65">
        <f t="shared" si="286"/>
        <v>0</v>
      </c>
      <c r="BQ61" s="65">
        <f t="shared" si="287"/>
        <v>0</v>
      </c>
      <c r="BR61" s="65">
        <f t="shared" si="288"/>
        <v>0</v>
      </c>
      <c r="BS61" s="65">
        <f t="shared" si="289"/>
        <v>0</v>
      </c>
      <c r="BT61" s="65">
        <f t="shared" si="290"/>
        <v>2516.5</v>
      </c>
      <c r="BU61" s="65">
        <f t="shared" si="291"/>
        <v>0</v>
      </c>
      <c r="BV61" s="65">
        <f t="shared" si="292"/>
        <v>0</v>
      </c>
      <c r="BW61" s="65">
        <f t="shared" si="293"/>
        <v>2516.5</v>
      </c>
      <c r="BX61" s="6"/>
      <c r="BY61" s="6"/>
      <c r="BZ61" s="6"/>
      <c r="CA61" s="6"/>
      <c r="CB61" s="6"/>
      <c r="CC61" s="6"/>
      <c r="CD61" s="6"/>
      <c r="CE61" s="6"/>
      <c r="CF61" s="6"/>
      <c r="CG61" s="6"/>
    </row>
    <row r="62" spans="1:85" ht="15.75" customHeight="1">
      <c r="A62" s="54"/>
      <c r="B62" s="69"/>
      <c r="C62" s="68" t="s">
        <v>170</v>
      </c>
      <c r="D62" s="70" t="s">
        <v>172</v>
      </c>
      <c r="E62" s="57">
        <v>0</v>
      </c>
      <c r="F62" s="57">
        <v>0</v>
      </c>
      <c r="G62" s="58">
        <f t="shared" si="277"/>
        <v>0</v>
      </c>
      <c r="H62" s="57">
        <v>0</v>
      </c>
      <c r="I62" s="59">
        <f t="shared" si="267"/>
        <v>0</v>
      </c>
      <c r="J62" s="59">
        <f t="shared" si="268"/>
        <v>0</v>
      </c>
      <c r="K62" s="74">
        <v>0</v>
      </c>
      <c r="L62" s="74">
        <v>0</v>
      </c>
      <c r="M62" s="74">
        <v>0</v>
      </c>
      <c r="N62" s="74">
        <v>0</v>
      </c>
      <c r="O62" s="61">
        <f t="shared" ref="O62:Q62" si="297">AA62+AD62+AG62+AJ62+AM62+AP62+AS62+AV62+AY62+BB62+BE62+BH62</f>
        <v>0</v>
      </c>
      <c r="P62" s="61">
        <f t="shared" si="297"/>
        <v>0</v>
      </c>
      <c r="Q62" s="61">
        <f t="shared" si="297"/>
        <v>0</v>
      </c>
      <c r="R62" s="61">
        <f t="shared" ref="R62:T62" si="298">IF(BK62=0,SUM(AA62+AD62+AG62+AJ62+AM62+AP62+AS62+AV62+AY62+BB62+BE62+BH62),BK62)</f>
        <v>0</v>
      </c>
      <c r="S62" s="61">
        <f t="shared" si="298"/>
        <v>0</v>
      </c>
      <c r="T62" s="61">
        <f t="shared" si="298"/>
        <v>0</v>
      </c>
      <c r="U62" s="63">
        <f t="shared" si="280"/>
        <v>0</v>
      </c>
      <c r="V62" s="63">
        <f t="shared" si="281"/>
        <v>0</v>
      </c>
      <c r="W62" s="63">
        <f t="shared" si="282"/>
        <v>0</v>
      </c>
      <c r="X62" s="64">
        <f t="shared" ref="X62:Y62" si="299">IF(O62&gt;0,O62/K62,0)</f>
        <v>0</v>
      </c>
      <c r="Y62" s="64">
        <f t="shared" si="299"/>
        <v>0</v>
      </c>
      <c r="Z62" s="64">
        <f t="shared" si="272"/>
        <v>0</v>
      </c>
      <c r="AA62" s="65"/>
      <c r="AB62" s="65"/>
      <c r="AC62" s="65"/>
      <c r="AD62" s="65"/>
      <c r="AE62" s="66"/>
      <c r="AF62" s="66"/>
      <c r="AG62" s="66"/>
      <c r="AH62" s="66"/>
      <c r="AI62" s="65"/>
      <c r="AJ62" s="65"/>
      <c r="AK62" s="65"/>
      <c r="AL62" s="65"/>
      <c r="AM62" s="65"/>
      <c r="AN62" s="65"/>
      <c r="AO62" s="65"/>
      <c r="AP62" s="65"/>
      <c r="AQ62" s="65"/>
      <c r="AR62" s="65"/>
      <c r="AS62" s="65"/>
      <c r="AT62" s="65"/>
      <c r="AU62" s="65"/>
      <c r="AV62" s="65"/>
      <c r="AW62" s="65"/>
      <c r="AX62" s="65"/>
      <c r="AY62" s="65"/>
      <c r="AZ62" s="65"/>
      <c r="BA62" s="65"/>
      <c r="BB62" s="65"/>
      <c r="BC62" s="65"/>
      <c r="BD62" s="65"/>
      <c r="BE62" s="65"/>
      <c r="BF62" s="65"/>
      <c r="BG62" s="65"/>
      <c r="BH62" s="65"/>
      <c r="BI62" s="65"/>
      <c r="BJ62" s="65"/>
      <c r="BK62" s="65">
        <v>0</v>
      </c>
      <c r="BL62" s="65">
        <v>0</v>
      </c>
      <c r="BM62" s="65">
        <v>0</v>
      </c>
      <c r="BN62" s="65">
        <f t="shared" si="284"/>
        <v>0</v>
      </c>
      <c r="BO62" s="67">
        <f t="shared" si="285"/>
        <v>0</v>
      </c>
      <c r="BP62" s="65">
        <f t="shared" si="286"/>
        <v>0</v>
      </c>
      <c r="BQ62" s="65">
        <f t="shared" si="287"/>
        <v>0</v>
      </c>
      <c r="BR62" s="65">
        <f t="shared" si="288"/>
        <v>0</v>
      </c>
      <c r="BS62" s="65">
        <f t="shared" si="289"/>
        <v>0</v>
      </c>
      <c r="BT62" s="65">
        <f t="shared" si="290"/>
        <v>0</v>
      </c>
      <c r="BU62" s="65">
        <f t="shared" si="291"/>
        <v>0</v>
      </c>
      <c r="BV62" s="65">
        <f t="shared" si="292"/>
        <v>0</v>
      </c>
      <c r="BW62" s="65">
        <f t="shared" si="293"/>
        <v>0</v>
      </c>
      <c r="BX62" s="6"/>
      <c r="BY62" s="6"/>
      <c r="BZ62" s="6"/>
      <c r="CA62" s="6"/>
      <c r="CB62" s="6"/>
      <c r="CC62" s="6"/>
      <c r="CD62" s="6"/>
      <c r="CE62" s="6"/>
      <c r="CF62" s="6"/>
      <c r="CG62" s="6"/>
    </row>
    <row r="63" spans="1:85" ht="15.75" customHeight="1">
      <c r="A63" s="54"/>
      <c r="B63" s="69"/>
      <c r="C63" s="68" t="s">
        <v>170</v>
      </c>
      <c r="D63" s="70" t="s">
        <v>173</v>
      </c>
      <c r="E63" s="57">
        <v>0</v>
      </c>
      <c r="F63" s="57">
        <v>0</v>
      </c>
      <c r="G63" s="58">
        <f t="shared" si="277"/>
        <v>0</v>
      </c>
      <c r="H63" s="57">
        <v>0</v>
      </c>
      <c r="I63" s="59">
        <f t="shared" si="267"/>
        <v>0</v>
      </c>
      <c r="J63" s="59">
        <f t="shared" si="268"/>
        <v>0</v>
      </c>
      <c r="K63" s="74">
        <v>0</v>
      </c>
      <c r="L63" s="74">
        <v>0</v>
      </c>
      <c r="M63" s="74">
        <v>0</v>
      </c>
      <c r="N63" s="74">
        <v>0</v>
      </c>
      <c r="O63" s="63">
        <f t="shared" ref="O63:Q63" si="300">AA63+AD63+AG63+AJ63+AM63+AP63+AS63+AV63+AY63+BB63+BE63+BH63</f>
        <v>0</v>
      </c>
      <c r="P63" s="61">
        <f t="shared" si="300"/>
        <v>0</v>
      </c>
      <c r="Q63" s="61">
        <f t="shared" si="300"/>
        <v>0</v>
      </c>
      <c r="R63" s="61">
        <f t="shared" ref="R63:T63" si="301">IF(BK63=0,SUM(AA63+AD63+AG63+AJ63+AM63+AP63+AS63+AV63+AY63+BB63+BE63+BH63),BK63)</f>
        <v>0</v>
      </c>
      <c r="S63" s="61">
        <f t="shared" si="301"/>
        <v>0</v>
      </c>
      <c r="T63" s="61">
        <f t="shared" si="301"/>
        <v>0</v>
      </c>
      <c r="U63" s="63">
        <f t="shared" si="280"/>
        <v>0</v>
      </c>
      <c r="V63" s="63">
        <f t="shared" si="281"/>
        <v>0</v>
      </c>
      <c r="W63" s="63">
        <f t="shared" si="282"/>
        <v>0</v>
      </c>
      <c r="X63" s="64">
        <f t="shared" ref="X63:Y63" si="302">IF(O63&gt;0,O63/K63,0)</f>
        <v>0</v>
      </c>
      <c r="Y63" s="64">
        <f t="shared" si="302"/>
        <v>0</v>
      </c>
      <c r="Z63" s="64">
        <f t="shared" si="272"/>
        <v>0</v>
      </c>
      <c r="AA63" s="65"/>
      <c r="AB63" s="65"/>
      <c r="AC63" s="65"/>
      <c r="AD63" s="65"/>
      <c r="AE63" s="66"/>
      <c r="AF63" s="66"/>
      <c r="AG63" s="66"/>
      <c r="AH63" s="66"/>
      <c r="AI63" s="65"/>
      <c r="AJ63" s="65"/>
      <c r="AK63" s="65"/>
      <c r="AL63" s="65"/>
      <c r="AM63" s="65"/>
      <c r="AN63" s="65"/>
      <c r="AO63" s="65"/>
      <c r="AP63" s="65"/>
      <c r="AQ63" s="65"/>
      <c r="AR63" s="65"/>
      <c r="AS63" s="65"/>
      <c r="AT63" s="65"/>
      <c r="AU63" s="65"/>
      <c r="AV63" s="65"/>
      <c r="AW63" s="65"/>
      <c r="AX63" s="65"/>
      <c r="AY63" s="65"/>
      <c r="AZ63" s="65"/>
      <c r="BA63" s="65"/>
      <c r="BB63" s="65"/>
      <c r="BC63" s="65"/>
      <c r="BD63" s="65"/>
      <c r="BE63" s="65"/>
      <c r="BF63" s="65"/>
      <c r="BG63" s="65"/>
      <c r="BH63" s="65"/>
      <c r="BI63" s="65"/>
      <c r="BJ63" s="65"/>
      <c r="BK63" s="65">
        <v>0</v>
      </c>
      <c r="BL63" s="65">
        <v>0</v>
      </c>
      <c r="BM63" s="65">
        <v>0</v>
      </c>
      <c r="BN63" s="65">
        <f t="shared" si="284"/>
        <v>0</v>
      </c>
      <c r="BO63" s="67">
        <f t="shared" si="285"/>
        <v>0</v>
      </c>
      <c r="BP63" s="65">
        <f t="shared" si="286"/>
        <v>0</v>
      </c>
      <c r="BQ63" s="65">
        <f t="shared" si="287"/>
        <v>0</v>
      </c>
      <c r="BR63" s="65">
        <f t="shared" si="288"/>
        <v>0</v>
      </c>
      <c r="BS63" s="65">
        <f t="shared" si="289"/>
        <v>0</v>
      </c>
      <c r="BT63" s="65">
        <f t="shared" si="290"/>
        <v>0</v>
      </c>
      <c r="BU63" s="65">
        <f t="shared" si="291"/>
        <v>0</v>
      </c>
      <c r="BV63" s="65">
        <f t="shared" si="292"/>
        <v>0</v>
      </c>
      <c r="BW63" s="65">
        <f t="shared" si="293"/>
        <v>0</v>
      </c>
      <c r="BX63" s="6"/>
      <c r="BY63" s="6"/>
      <c r="BZ63" s="6"/>
      <c r="CA63" s="6"/>
      <c r="CB63" s="6"/>
      <c r="CC63" s="6"/>
      <c r="CD63" s="6"/>
      <c r="CE63" s="6"/>
      <c r="CF63" s="6"/>
      <c r="CG63" s="6"/>
    </row>
    <row r="64" spans="1:85" ht="15.75" customHeight="1">
      <c r="A64" s="68"/>
      <c r="B64" s="69"/>
      <c r="C64" s="68" t="s">
        <v>174</v>
      </c>
      <c r="D64" s="70" t="s">
        <v>175</v>
      </c>
      <c r="E64" s="57">
        <v>0</v>
      </c>
      <c r="F64" s="57">
        <v>0</v>
      </c>
      <c r="G64" s="58">
        <f t="shared" si="277"/>
        <v>0</v>
      </c>
      <c r="H64" s="57">
        <v>0</v>
      </c>
      <c r="I64" s="59">
        <f t="shared" si="267"/>
        <v>0</v>
      </c>
      <c r="J64" s="59">
        <f t="shared" si="268"/>
        <v>0</v>
      </c>
      <c r="K64" s="74">
        <v>0</v>
      </c>
      <c r="L64" s="74">
        <v>0</v>
      </c>
      <c r="M64" s="74">
        <v>0</v>
      </c>
      <c r="N64" s="74">
        <v>0</v>
      </c>
      <c r="O64" s="63">
        <f t="shared" ref="O64:Q64" si="303">AA64+AD64+AG64+AJ64+AM64+AP64+AS64+AV64+AY64+BB64+BE64+BH64</f>
        <v>0</v>
      </c>
      <c r="P64" s="61">
        <f t="shared" si="303"/>
        <v>0</v>
      </c>
      <c r="Q64" s="61">
        <f t="shared" si="303"/>
        <v>0</v>
      </c>
      <c r="R64" s="61">
        <f t="shared" ref="R64:T64" si="304">IF(BK64=0,SUM(AA64+AD64+AG64+AJ64+AM64+AP64+AS64+AV64+AY64+BB64+BE64+BH64),BK64)</f>
        <v>0</v>
      </c>
      <c r="S64" s="61">
        <f t="shared" si="304"/>
        <v>0</v>
      </c>
      <c r="T64" s="61">
        <f t="shared" si="304"/>
        <v>0</v>
      </c>
      <c r="U64" s="63">
        <f t="shared" si="280"/>
        <v>0</v>
      </c>
      <c r="V64" s="63">
        <f t="shared" si="281"/>
        <v>0</v>
      </c>
      <c r="W64" s="63">
        <f t="shared" si="282"/>
        <v>0</v>
      </c>
      <c r="X64" s="64">
        <f t="shared" ref="X64:Y64" si="305">IF(O64&gt;0,O64/K64,0)</f>
        <v>0</v>
      </c>
      <c r="Y64" s="64">
        <f t="shared" si="305"/>
        <v>0</v>
      </c>
      <c r="Z64" s="64">
        <f t="shared" si="272"/>
        <v>0</v>
      </c>
      <c r="AA64" s="65"/>
      <c r="AB64" s="65"/>
      <c r="AC64" s="65"/>
      <c r="AD64" s="65"/>
      <c r="AE64" s="66"/>
      <c r="AF64" s="66"/>
      <c r="AG64" s="66"/>
      <c r="AH64" s="66"/>
      <c r="AI64" s="65"/>
      <c r="AJ64" s="65"/>
      <c r="AK64" s="65"/>
      <c r="AL64" s="65"/>
      <c r="AM64" s="65"/>
      <c r="AN64" s="65"/>
      <c r="AO64" s="65"/>
      <c r="AP64" s="65"/>
      <c r="AQ64" s="65"/>
      <c r="AR64" s="65"/>
      <c r="AS64" s="65"/>
      <c r="AT64" s="65"/>
      <c r="AU64" s="65"/>
      <c r="AV64" s="65"/>
      <c r="AW64" s="65"/>
      <c r="AX64" s="65"/>
      <c r="AY64" s="65"/>
      <c r="AZ64" s="65"/>
      <c r="BA64" s="65"/>
      <c r="BB64" s="65"/>
      <c r="BC64" s="65"/>
      <c r="BD64" s="65"/>
      <c r="BE64" s="65"/>
      <c r="BF64" s="65"/>
      <c r="BG64" s="65"/>
      <c r="BH64" s="65"/>
      <c r="BI64" s="65"/>
      <c r="BJ64" s="65"/>
      <c r="BK64" s="65">
        <v>0</v>
      </c>
      <c r="BL64" s="65">
        <v>0</v>
      </c>
      <c r="BM64" s="65">
        <v>0</v>
      </c>
      <c r="BN64" s="65">
        <f t="shared" si="284"/>
        <v>0</v>
      </c>
      <c r="BO64" s="67">
        <f t="shared" si="285"/>
        <v>0</v>
      </c>
      <c r="BP64" s="65">
        <f t="shared" si="286"/>
        <v>0</v>
      </c>
      <c r="BQ64" s="65">
        <f t="shared" si="287"/>
        <v>0</v>
      </c>
      <c r="BR64" s="65">
        <f t="shared" si="288"/>
        <v>0</v>
      </c>
      <c r="BS64" s="65">
        <f t="shared" si="289"/>
        <v>0</v>
      </c>
      <c r="BT64" s="65">
        <f t="shared" si="290"/>
        <v>0</v>
      </c>
      <c r="BU64" s="65">
        <f t="shared" si="291"/>
        <v>0</v>
      </c>
      <c r="BV64" s="65">
        <f t="shared" si="292"/>
        <v>0</v>
      </c>
      <c r="BW64" s="65">
        <f t="shared" si="293"/>
        <v>0</v>
      </c>
      <c r="BX64" s="6"/>
      <c r="BY64" s="6"/>
      <c r="BZ64" s="6"/>
      <c r="CA64" s="6"/>
      <c r="CB64" s="6"/>
      <c r="CC64" s="6"/>
      <c r="CD64" s="6"/>
      <c r="CE64" s="6"/>
      <c r="CF64" s="6"/>
      <c r="CG64" s="6"/>
    </row>
    <row r="65" spans="1:85" ht="15.75" customHeight="1">
      <c r="A65" s="121"/>
      <c r="B65" s="169" t="s">
        <v>176</v>
      </c>
      <c r="C65" s="68" t="s">
        <v>174</v>
      </c>
      <c r="D65" s="70" t="s">
        <v>177</v>
      </c>
      <c r="E65" s="57">
        <v>0</v>
      </c>
      <c r="F65" s="57">
        <v>0</v>
      </c>
      <c r="G65" s="58">
        <f t="shared" si="277"/>
        <v>0</v>
      </c>
      <c r="H65" s="57">
        <v>0</v>
      </c>
      <c r="I65" s="59">
        <f t="shared" si="267"/>
        <v>0</v>
      </c>
      <c r="J65" s="59">
        <f t="shared" si="268"/>
        <v>0</v>
      </c>
      <c r="K65" s="74">
        <v>0</v>
      </c>
      <c r="L65" s="60">
        <v>44781.05</v>
      </c>
      <c r="M65" s="74">
        <v>0</v>
      </c>
      <c r="N65" s="74">
        <v>0</v>
      </c>
      <c r="O65" s="63">
        <f t="shared" ref="O65:Q65" si="306">AA65+AD65+AG65+AJ65+AM65+AP65+AS65+AV65+AY65+BB65+BE65+BH65</f>
        <v>0</v>
      </c>
      <c r="P65" s="61">
        <f t="shared" si="306"/>
        <v>24460</v>
      </c>
      <c r="Q65" s="61">
        <f t="shared" si="306"/>
        <v>0</v>
      </c>
      <c r="R65" s="61">
        <f t="shared" ref="R65:T65" si="307">IF(BK65=0,SUM(AA65+AD65+AG65+AJ65+AM65+AP65+AS65+AV65+AY65+BB65+BE65+BH65),BK65)</f>
        <v>0</v>
      </c>
      <c r="S65" s="61">
        <f t="shared" si="307"/>
        <v>24460</v>
      </c>
      <c r="T65" s="61">
        <f t="shared" si="307"/>
        <v>0</v>
      </c>
      <c r="U65" s="63">
        <f t="shared" si="280"/>
        <v>0</v>
      </c>
      <c r="V65" s="170">
        <f t="shared" si="281"/>
        <v>20321.050000000003</v>
      </c>
      <c r="W65" s="63">
        <f t="shared" si="282"/>
        <v>0</v>
      </c>
      <c r="X65" s="64">
        <f t="shared" ref="X65:Y65" si="308">IF(O65&gt;0,O65/K65,0)</f>
        <v>0</v>
      </c>
      <c r="Y65" s="64">
        <f t="shared" si="308"/>
        <v>0.5462131861579842</v>
      </c>
      <c r="Z65" s="64">
        <f t="shared" si="272"/>
        <v>0</v>
      </c>
      <c r="AA65" s="65"/>
      <c r="AB65" s="65"/>
      <c r="AC65" s="65"/>
      <c r="AD65" s="65"/>
      <c r="AE65" s="66"/>
      <c r="AF65" s="66"/>
      <c r="AG65" s="66"/>
      <c r="AH65" s="66"/>
      <c r="AI65" s="65"/>
      <c r="AJ65" s="65"/>
      <c r="AK65" s="65"/>
      <c r="AL65" s="65"/>
      <c r="AM65" s="65"/>
      <c r="AN65" s="65">
        <f>24460</f>
        <v>24460</v>
      </c>
      <c r="AO65" s="65"/>
      <c r="AP65" s="65"/>
      <c r="AQ65" s="65"/>
      <c r="AR65" s="65"/>
      <c r="AS65" s="65"/>
      <c r="AT65" s="65"/>
      <c r="AU65" s="65"/>
      <c r="AV65" s="65"/>
      <c r="AW65" s="65"/>
      <c r="AX65" s="65"/>
      <c r="AY65" s="65"/>
      <c r="AZ65" s="65"/>
      <c r="BA65" s="65"/>
      <c r="BB65" s="65"/>
      <c r="BC65" s="65"/>
      <c r="BD65" s="65"/>
      <c r="BE65" s="65"/>
      <c r="BF65" s="65"/>
      <c r="BG65" s="65"/>
      <c r="BH65" s="65"/>
      <c r="BI65" s="65"/>
      <c r="BJ65" s="65"/>
      <c r="BK65" s="65">
        <v>0</v>
      </c>
      <c r="BL65" s="65">
        <v>0</v>
      </c>
      <c r="BM65" s="65">
        <v>0</v>
      </c>
      <c r="BN65" s="65">
        <f t="shared" si="284"/>
        <v>0</v>
      </c>
      <c r="BO65" s="67">
        <f t="shared" si="285"/>
        <v>0</v>
      </c>
      <c r="BP65" s="65">
        <f t="shared" si="286"/>
        <v>0</v>
      </c>
      <c r="BQ65" s="65">
        <f t="shared" si="287"/>
        <v>0</v>
      </c>
      <c r="BR65" s="65">
        <f t="shared" si="288"/>
        <v>0</v>
      </c>
      <c r="BS65" s="65">
        <f t="shared" si="289"/>
        <v>0</v>
      </c>
      <c r="BT65" s="65">
        <f t="shared" si="290"/>
        <v>20321.050000000003</v>
      </c>
      <c r="BU65" s="65">
        <f t="shared" si="291"/>
        <v>0</v>
      </c>
      <c r="BV65" s="65">
        <f t="shared" si="292"/>
        <v>0</v>
      </c>
      <c r="BW65" s="65">
        <f t="shared" si="293"/>
        <v>20321.050000000003</v>
      </c>
      <c r="BX65" s="6"/>
      <c r="BY65" s="6"/>
      <c r="BZ65" s="6"/>
      <c r="CA65" s="6"/>
      <c r="CB65" s="6"/>
      <c r="CC65" s="6"/>
      <c r="CD65" s="6"/>
      <c r="CE65" s="6"/>
      <c r="CF65" s="6"/>
      <c r="CG65" s="6"/>
    </row>
    <row r="66" spans="1:85" ht="15.75" customHeight="1">
      <c r="A66" s="54"/>
      <c r="B66" s="69"/>
      <c r="C66" s="68" t="s">
        <v>174</v>
      </c>
      <c r="D66" s="70" t="s">
        <v>178</v>
      </c>
      <c r="E66" s="57">
        <v>0</v>
      </c>
      <c r="F66" s="57">
        <v>0</v>
      </c>
      <c r="G66" s="58">
        <f t="shared" si="277"/>
        <v>0</v>
      </c>
      <c r="H66" s="57">
        <v>0</v>
      </c>
      <c r="I66" s="59">
        <f t="shared" si="267"/>
        <v>0</v>
      </c>
      <c r="J66" s="59">
        <f t="shared" si="268"/>
        <v>0</v>
      </c>
      <c r="K66" s="74">
        <v>0</v>
      </c>
      <c r="L66" s="74">
        <v>0</v>
      </c>
      <c r="M66" s="74">
        <v>0</v>
      </c>
      <c r="N66" s="74">
        <v>0</v>
      </c>
      <c r="O66" s="63">
        <f t="shared" ref="O66:Q66" si="309">AA66+AD66+AG66+AJ66+AM66+AP66+AS66+AV66+AY66+BB66+BE66+BH66</f>
        <v>0</v>
      </c>
      <c r="P66" s="61">
        <f t="shared" si="309"/>
        <v>0</v>
      </c>
      <c r="Q66" s="61">
        <f t="shared" si="309"/>
        <v>0</v>
      </c>
      <c r="R66" s="61">
        <f t="shared" ref="R66:T66" si="310">IF(BK66=0,SUM(AA66+AD66+AG66+AJ66+AM66+AP66+AS66+AV66+AY66+BB66+BE66+BH66),BK66)</f>
        <v>0</v>
      </c>
      <c r="S66" s="61">
        <f t="shared" si="310"/>
        <v>0</v>
      </c>
      <c r="T66" s="61">
        <f t="shared" si="310"/>
        <v>0</v>
      </c>
      <c r="U66" s="63">
        <f t="shared" si="280"/>
        <v>0</v>
      </c>
      <c r="V66" s="63">
        <f t="shared" si="281"/>
        <v>0</v>
      </c>
      <c r="W66" s="63">
        <f t="shared" si="282"/>
        <v>0</v>
      </c>
      <c r="X66" s="64">
        <f t="shared" ref="X66:Y66" si="311">IF(O66&gt;0,O66/K66,0)</f>
        <v>0</v>
      </c>
      <c r="Y66" s="64">
        <f t="shared" si="311"/>
        <v>0</v>
      </c>
      <c r="Z66" s="64">
        <f t="shared" si="272"/>
        <v>0</v>
      </c>
      <c r="AA66" s="65"/>
      <c r="AB66" s="65"/>
      <c r="AC66" s="65"/>
      <c r="AD66" s="65"/>
      <c r="AE66" s="66"/>
      <c r="AF66" s="66"/>
      <c r="AG66" s="66"/>
      <c r="AH66" s="66"/>
      <c r="AI66" s="65"/>
      <c r="AJ66" s="65"/>
      <c r="AK66" s="65"/>
      <c r="AL66" s="65"/>
      <c r="AM66" s="65"/>
      <c r="AN66" s="65"/>
      <c r="AO66" s="65"/>
      <c r="AP66" s="65"/>
      <c r="AQ66" s="65"/>
      <c r="AR66" s="65"/>
      <c r="AS66" s="65"/>
      <c r="AT66" s="65"/>
      <c r="AU66" s="65"/>
      <c r="AV66" s="65"/>
      <c r="AW66" s="65"/>
      <c r="AX66" s="65"/>
      <c r="AY66" s="65"/>
      <c r="AZ66" s="65"/>
      <c r="BA66" s="65"/>
      <c r="BB66" s="65"/>
      <c r="BC66" s="65"/>
      <c r="BD66" s="65"/>
      <c r="BE66" s="65"/>
      <c r="BF66" s="65"/>
      <c r="BG66" s="65"/>
      <c r="BH66" s="65"/>
      <c r="BI66" s="65"/>
      <c r="BJ66" s="65"/>
      <c r="BK66" s="65">
        <v>0</v>
      </c>
      <c r="BL66" s="65">
        <v>0</v>
      </c>
      <c r="BM66" s="65">
        <v>0</v>
      </c>
      <c r="BN66" s="65">
        <f t="shared" si="284"/>
        <v>0</v>
      </c>
      <c r="BO66" s="67">
        <f t="shared" si="285"/>
        <v>0</v>
      </c>
      <c r="BP66" s="65">
        <f t="shared" si="286"/>
        <v>0</v>
      </c>
      <c r="BQ66" s="65">
        <f t="shared" si="287"/>
        <v>0</v>
      </c>
      <c r="BR66" s="65">
        <f t="shared" si="288"/>
        <v>0</v>
      </c>
      <c r="BS66" s="65">
        <f t="shared" si="289"/>
        <v>0</v>
      </c>
      <c r="BT66" s="65">
        <f t="shared" si="290"/>
        <v>0</v>
      </c>
      <c r="BU66" s="65">
        <f t="shared" si="291"/>
        <v>0</v>
      </c>
      <c r="BV66" s="65">
        <f t="shared" si="292"/>
        <v>0</v>
      </c>
      <c r="BW66" s="65">
        <f t="shared" si="293"/>
        <v>0</v>
      </c>
      <c r="BX66" s="6"/>
      <c r="BY66" s="6"/>
      <c r="BZ66" s="6"/>
      <c r="CA66" s="6"/>
      <c r="CB66" s="6"/>
      <c r="CC66" s="6"/>
      <c r="CD66" s="6"/>
      <c r="CE66" s="6"/>
      <c r="CF66" s="6"/>
      <c r="CG66" s="6"/>
    </row>
    <row r="67" spans="1:85" ht="15.75" customHeight="1">
      <c r="A67" s="104" t="s">
        <v>179</v>
      </c>
      <c r="B67" s="121" t="s">
        <v>180</v>
      </c>
      <c r="C67" s="104" t="s">
        <v>181</v>
      </c>
      <c r="D67" s="171" t="s">
        <v>182</v>
      </c>
      <c r="E67" s="57">
        <v>0</v>
      </c>
      <c r="F67" s="57">
        <v>0</v>
      </c>
      <c r="G67" s="58">
        <f t="shared" si="277"/>
        <v>0</v>
      </c>
      <c r="H67" s="57">
        <v>0</v>
      </c>
      <c r="I67" s="59">
        <f t="shared" si="267"/>
        <v>0</v>
      </c>
      <c r="J67" s="59">
        <f t="shared" si="268"/>
        <v>0</v>
      </c>
      <c r="K67" s="74">
        <f>3678.44-1839.22</f>
        <v>1839.22</v>
      </c>
      <c r="L67" s="172">
        <v>1839.22</v>
      </c>
      <c r="M67" s="74">
        <v>0</v>
      </c>
      <c r="N67" s="74">
        <v>0</v>
      </c>
      <c r="O67" s="63">
        <f t="shared" ref="O67:Q67" si="312">AA67+AD67+AG67+AJ67+AM67+AP67+AS67+AV67+AY67+BB67+BE67+BH67</f>
        <v>1839.22</v>
      </c>
      <c r="P67" s="61">
        <f t="shared" si="312"/>
        <v>1839.22</v>
      </c>
      <c r="Q67" s="61">
        <f t="shared" si="312"/>
        <v>0</v>
      </c>
      <c r="R67" s="61">
        <f t="shared" ref="R67:T67" si="313">IF(BK67=0,SUM(AA67+AD67+AG67+AJ67+AM67+AP67+AS67+AV67+AY67+BB67+BE67+BH67),BK67)</f>
        <v>1839.22</v>
      </c>
      <c r="S67" s="61">
        <f t="shared" si="313"/>
        <v>1839.22</v>
      </c>
      <c r="T67" s="61">
        <f t="shared" si="313"/>
        <v>0</v>
      </c>
      <c r="U67" s="63">
        <f t="shared" si="280"/>
        <v>0</v>
      </c>
      <c r="V67" s="63">
        <f t="shared" si="281"/>
        <v>0</v>
      </c>
      <c r="W67" s="63">
        <f t="shared" si="282"/>
        <v>0</v>
      </c>
      <c r="X67" s="64">
        <f t="shared" ref="X67:Y67" si="314">IF(O67&gt;0,O67/K67,0)</f>
        <v>1</v>
      </c>
      <c r="Y67" s="64">
        <f t="shared" si="314"/>
        <v>1</v>
      </c>
      <c r="Z67" s="64">
        <f t="shared" si="272"/>
        <v>0</v>
      </c>
      <c r="AA67" s="65"/>
      <c r="AB67" s="65"/>
      <c r="AC67" s="65"/>
      <c r="AD67" s="65"/>
      <c r="AE67" s="113">
        <v>1839.22</v>
      </c>
      <c r="AF67" s="66"/>
      <c r="AG67" s="113">
        <v>1839.22</v>
      </c>
      <c r="AH67" s="66"/>
      <c r="AI67" s="65"/>
      <c r="AJ67" s="65"/>
      <c r="AK67" s="65"/>
      <c r="AL67" s="65"/>
      <c r="AM67" s="65"/>
      <c r="AN67" s="65"/>
      <c r="AO67" s="65"/>
      <c r="AP67" s="65"/>
      <c r="AQ67" s="65"/>
      <c r="AR67" s="65"/>
      <c r="AS67" s="65"/>
      <c r="AT67" s="65"/>
      <c r="AU67" s="65"/>
      <c r="AV67" s="65"/>
      <c r="AW67" s="65"/>
      <c r="AX67" s="65"/>
      <c r="AY67" s="65"/>
      <c r="AZ67" s="65"/>
      <c r="BA67" s="65"/>
      <c r="BB67" s="65"/>
      <c r="BC67" s="65"/>
      <c r="BD67" s="65"/>
      <c r="BE67" s="65"/>
      <c r="BF67" s="65"/>
      <c r="BG67" s="65"/>
      <c r="BH67" s="65"/>
      <c r="BI67" s="65"/>
      <c r="BJ67" s="65"/>
      <c r="BK67" s="65">
        <v>0</v>
      </c>
      <c r="BL67" s="65">
        <v>0</v>
      </c>
      <c r="BM67" s="65">
        <v>0</v>
      </c>
      <c r="BN67" s="65">
        <f t="shared" si="284"/>
        <v>1839.22</v>
      </c>
      <c r="BO67" s="67">
        <f t="shared" si="285"/>
        <v>0</v>
      </c>
      <c r="BP67" s="65">
        <f t="shared" si="286"/>
        <v>1839.22</v>
      </c>
      <c r="BQ67" s="65">
        <f t="shared" si="287"/>
        <v>0</v>
      </c>
      <c r="BR67" s="65">
        <f t="shared" si="288"/>
        <v>0</v>
      </c>
      <c r="BS67" s="65">
        <f t="shared" si="289"/>
        <v>0</v>
      </c>
      <c r="BT67" s="65">
        <f t="shared" si="290"/>
        <v>0</v>
      </c>
      <c r="BU67" s="65">
        <f t="shared" si="291"/>
        <v>1839.22</v>
      </c>
      <c r="BV67" s="65">
        <f t="shared" si="292"/>
        <v>0</v>
      </c>
      <c r="BW67" s="65">
        <f t="shared" si="293"/>
        <v>1839.22</v>
      </c>
      <c r="BX67" s="6"/>
      <c r="BY67" s="6"/>
      <c r="BZ67" s="6"/>
      <c r="CA67" s="6"/>
      <c r="CB67" s="6"/>
      <c r="CC67" s="6"/>
      <c r="CD67" s="6"/>
      <c r="CE67" s="6"/>
      <c r="CF67" s="6"/>
      <c r="CG67" s="6"/>
    </row>
    <row r="68" spans="1:85" ht="15.75" customHeight="1">
      <c r="A68" s="104" t="s">
        <v>183</v>
      </c>
      <c r="B68" s="168"/>
      <c r="C68" s="104" t="s">
        <v>181</v>
      </c>
      <c r="D68" s="171" t="s">
        <v>184</v>
      </c>
      <c r="E68" s="57">
        <v>0</v>
      </c>
      <c r="F68" s="57">
        <v>0</v>
      </c>
      <c r="G68" s="58">
        <f t="shared" si="277"/>
        <v>0</v>
      </c>
      <c r="H68" s="57">
        <v>0</v>
      </c>
      <c r="I68" s="59">
        <f t="shared" si="267"/>
        <v>0</v>
      </c>
      <c r="J68" s="59">
        <f t="shared" si="268"/>
        <v>0</v>
      </c>
      <c r="K68" s="74">
        <f>1873.43+1873.43+5620.29+9367.15</f>
        <v>18734.3</v>
      </c>
      <c r="L68" s="74">
        <v>0</v>
      </c>
      <c r="M68" s="74">
        <v>0</v>
      </c>
      <c r="N68" s="74">
        <v>0</v>
      </c>
      <c r="O68" s="63">
        <f t="shared" ref="O68:Q68" si="315">AA68+AD68+AG68+AJ68+AM68+AP68+AS68+AV68+AY68+BB68+BE68+BH68</f>
        <v>5586.08</v>
      </c>
      <c r="P68" s="61">
        <f t="shared" si="315"/>
        <v>0</v>
      </c>
      <c r="Q68" s="61">
        <f t="shared" si="315"/>
        <v>0</v>
      </c>
      <c r="R68" s="61">
        <f t="shared" ref="R68:T68" si="316">IF(BK68=0,SUM(AA68+AD68+AG68+AJ68+AM68+AP68+AS68+AV68+AY68+BB68+BE68+BH68),BK68)</f>
        <v>5586.08</v>
      </c>
      <c r="S68" s="61">
        <f t="shared" si="316"/>
        <v>0</v>
      </c>
      <c r="T68" s="61">
        <f t="shared" si="316"/>
        <v>0</v>
      </c>
      <c r="U68" s="62">
        <f t="shared" si="280"/>
        <v>13148.22</v>
      </c>
      <c r="V68" s="63">
        <f t="shared" si="281"/>
        <v>0</v>
      </c>
      <c r="W68" s="63">
        <f t="shared" si="282"/>
        <v>0</v>
      </c>
      <c r="X68" s="64">
        <f t="shared" ref="X68:Y68" si="317">IF(O68&gt;0,O68/K68,0)</f>
        <v>0.29817393764378708</v>
      </c>
      <c r="Y68" s="64">
        <f t="shared" si="317"/>
        <v>0</v>
      </c>
      <c r="Z68" s="64">
        <f t="shared" si="272"/>
        <v>0</v>
      </c>
      <c r="AA68" s="65"/>
      <c r="AB68" s="65"/>
      <c r="AC68" s="65"/>
      <c r="AD68" s="65"/>
      <c r="AE68" s="66"/>
      <c r="AF68" s="66"/>
      <c r="AG68" s="66"/>
      <c r="AH68" s="66"/>
      <c r="AI68" s="65"/>
      <c r="AJ68" s="100">
        <v>1839.22</v>
      </c>
      <c r="AK68" s="65"/>
      <c r="AL68" s="65"/>
      <c r="AM68" s="100">
        <v>1873.43</v>
      </c>
      <c r="AN68" s="65"/>
      <c r="AO68" s="65"/>
      <c r="AP68" s="65">
        <f>1873.43</f>
        <v>1873.43</v>
      </c>
      <c r="AQ68" s="65"/>
      <c r="AR68" s="65"/>
      <c r="AS68" s="65"/>
      <c r="AT68" s="65"/>
      <c r="AU68" s="65"/>
      <c r="AV68" s="65"/>
      <c r="AW68" s="65"/>
      <c r="AX68" s="65"/>
      <c r="AY68" s="65"/>
      <c r="AZ68" s="65"/>
      <c r="BA68" s="65"/>
      <c r="BB68" s="65"/>
      <c r="BC68" s="65"/>
      <c r="BD68" s="65"/>
      <c r="BE68" s="65"/>
      <c r="BF68" s="65"/>
      <c r="BG68" s="65"/>
      <c r="BH68" s="65"/>
      <c r="BI68" s="65"/>
      <c r="BJ68" s="65"/>
      <c r="BK68" s="65">
        <v>0</v>
      </c>
      <c r="BL68" s="65">
        <v>0</v>
      </c>
      <c r="BM68" s="65">
        <v>0</v>
      </c>
      <c r="BN68" s="65">
        <f t="shared" si="284"/>
        <v>5586.08</v>
      </c>
      <c r="BO68" s="67">
        <f t="shared" si="285"/>
        <v>0</v>
      </c>
      <c r="BP68" s="65">
        <f t="shared" si="286"/>
        <v>5586.08</v>
      </c>
      <c r="BQ68" s="65">
        <f t="shared" si="287"/>
        <v>13148.22</v>
      </c>
      <c r="BR68" s="65">
        <f t="shared" si="288"/>
        <v>0</v>
      </c>
      <c r="BS68" s="65">
        <f t="shared" si="289"/>
        <v>13148.22</v>
      </c>
      <c r="BT68" s="65">
        <f t="shared" si="290"/>
        <v>0</v>
      </c>
      <c r="BU68" s="65">
        <f t="shared" si="291"/>
        <v>5586.08</v>
      </c>
      <c r="BV68" s="65">
        <f t="shared" si="292"/>
        <v>13148.22</v>
      </c>
      <c r="BW68" s="65">
        <f t="shared" si="293"/>
        <v>18734.3</v>
      </c>
      <c r="BX68" s="6"/>
      <c r="BY68" s="6"/>
      <c r="BZ68" s="6"/>
      <c r="CA68" s="6"/>
      <c r="CB68" s="6"/>
      <c r="CC68" s="6"/>
      <c r="CD68" s="6"/>
      <c r="CE68" s="6"/>
      <c r="CF68" s="6"/>
      <c r="CG68" s="6"/>
    </row>
    <row r="69" spans="1:85" ht="15.75" customHeight="1">
      <c r="A69" s="173" t="s">
        <v>185</v>
      </c>
      <c r="B69" s="168"/>
      <c r="C69" s="104" t="s">
        <v>181</v>
      </c>
      <c r="D69" s="174" t="s">
        <v>186</v>
      </c>
      <c r="E69" s="57">
        <v>0</v>
      </c>
      <c r="F69" s="57">
        <v>0</v>
      </c>
      <c r="G69" s="58">
        <f t="shared" si="277"/>
        <v>0</v>
      </c>
      <c r="H69" s="57">
        <v>0</v>
      </c>
      <c r="I69" s="59">
        <f t="shared" si="267"/>
        <v>0</v>
      </c>
      <c r="J69" s="59">
        <f t="shared" si="268"/>
        <v>0</v>
      </c>
      <c r="K69" s="74">
        <v>1946.5</v>
      </c>
      <c r="L69" s="74">
        <v>0</v>
      </c>
      <c r="M69" s="74">
        <v>0</v>
      </c>
      <c r="N69" s="74">
        <v>0</v>
      </c>
      <c r="O69" s="63">
        <f t="shared" ref="O69:Q69" si="318">AA69+AD69+AG69+AJ69+AM69+AP69+AS69+AV69+AY69+BB69+BE69+BH69</f>
        <v>1946.5</v>
      </c>
      <c r="P69" s="61">
        <f t="shared" si="318"/>
        <v>0</v>
      </c>
      <c r="Q69" s="61">
        <f t="shared" si="318"/>
        <v>0</v>
      </c>
      <c r="R69" s="61">
        <f t="shared" ref="R69:T69" si="319">IF(BK69=0,SUM(AA69+AD69+AG69+AJ69+AM69+AP69+AS69+AV69+AY69+BB69+BE69+BH69),BK69)</f>
        <v>1946.5</v>
      </c>
      <c r="S69" s="61">
        <f t="shared" si="319"/>
        <v>0</v>
      </c>
      <c r="T69" s="61">
        <f t="shared" si="319"/>
        <v>0</v>
      </c>
      <c r="U69" s="63">
        <f t="shared" si="280"/>
        <v>0</v>
      </c>
      <c r="V69" s="63">
        <f t="shared" si="281"/>
        <v>0</v>
      </c>
      <c r="W69" s="63">
        <f t="shared" si="282"/>
        <v>0</v>
      </c>
      <c r="X69" s="64">
        <f t="shared" ref="X69:Y69" si="320">IF(O69&gt;0,O69/K69,0)</f>
        <v>1</v>
      </c>
      <c r="Y69" s="64">
        <f t="shared" si="320"/>
        <v>0</v>
      </c>
      <c r="Z69" s="64">
        <f t="shared" si="272"/>
        <v>0</v>
      </c>
      <c r="AA69" s="65"/>
      <c r="AB69" s="65"/>
      <c r="AC69" s="65"/>
      <c r="AD69" s="65"/>
      <c r="AE69" s="66"/>
      <c r="AF69" s="66"/>
      <c r="AG69" s="66"/>
      <c r="AH69" s="66"/>
      <c r="AI69" s="65"/>
      <c r="AJ69" s="65"/>
      <c r="AK69" s="65"/>
      <c r="AL69" s="65"/>
      <c r="AM69" s="65"/>
      <c r="AN69" s="65"/>
      <c r="AO69" s="65"/>
      <c r="AP69" s="65">
        <f>1946.5</f>
        <v>1946.5</v>
      </c>
      <c r="AQ69" s="65"/>
      <c r="AR69" s="65"/>
      <c r="AS69" s="65"/>
      <c r="AT69" s="65"/>
      <c r="AU69" s="65"/>
      <c r="AV69" s="65"/>
      <c r="AW69" s="65"/>
      <c r="AX69" s="65"/>
      <c r="AY69" s="65"/>
      <c r="AZ69" s="65"/>
      <c r="BA69" s="65"/>
      <c r="BB69" s="65"/>
      <c r="BC69" s="65"/>
      <c r="BD69" s="65"/>
      <c r="BE69" s="65"/>
      <c r="BF69" s="65"/>
      <c r="BG69" s="65"/>
      <c r="BH69" s="65"/>
      <c r="BI69" s="65"/>
      <c r="BJ69" s="65"/>
      <c r="BK69" s="65">
        <v>0</v>
      </c>
      <c r="BL69" s="65">
        <v>0</v>
      </c>
      <c r="BM69" s="65">
        <v>0</v>
      </c>
      <c r="BN69" s="65">
        <f t="shared" si="284"/>
        <v>1946.5</v>
      </c>
      <c r="BO69" s="67">
        <f t="shared" si="285"/>
        <v>0</v>
      </c>
      <c r="BP69" s="65">
        <f t="shared" si="286"/>
        <v>1946.5</v>
      </c>
      <c r="BQ69" s="65">
        <f t="shared" si="287"/>
        <v>0</v>
      </c>
      <c r="BR69" s="65">
        <f t="shared" si="288"/>
        <v>0</v>
      </c>
      <c r="BS69" s="65">
        <f t="shared" si="289"/>
        <v>0</v>
      </c>
      <c r="BT69" s="65">
        <f t="shared" si="290"/>
        <v>0</v>
      </c>
      <c r="BU69" s="65">
        <f t="shared" si="291"/>
        <v>1946.5</v>
      </c>
      <c r="BV69" s="65">
        <f t="shared" si="292"/>
        <v>0</v>
      </c>
      <c r="BW69" s="65">
        <f t="shared" si="293"/>
        <v>1946.5</v>
      </c>
      <c r="BX69" s="6"/>
      <c r="BY69" s="6"/>
      <c r="BZ69" s="6"/>
      <c r="CA69" s="6"/>
      <c r="CB69" s="6"/>
      <c r="CC69" s="6"/>
      <c r="CD69" s="6"/>
      <c r="CE69" s="6"/>
      <c r="CF69" s="6"/>
      <c r="CG69" s="6"/>
    </row>
    <row r="70" spans="1:85" ht="15.75" customHeight="1">
      <c r="A70" s="121"/>
      <c r="B70" s="168"/>
      <c r="C70" s="68" t="s">
        <v>174</v>
      </c>
      <c r="D70" s="171" t="s">
        <v>187</v>
      </c>
      <c r="E70" s="57">
        <v>0</v>
      </c>
      <c r="F70" s="57">
        <v>0</v>
      </c>
      <c r="G70" s="58">
        <f t="shared" si="277"/>
        <v>0</v>
      </c>
      <c r="H70" s="57">
        <v>0</v>
      </c>
      <c r="I70" s="59">
        <f t="shared" si="267"/>
        <v>0</v>
      </c>
      <c r="J70" s="59">
        <f t="shared" si="268"/>
        <v>0</v>
      </c>
      <c r="K70" s="74">
        <v>0</v>
      </c>
      <c r="L70" s="74">
        <v>0</v>
      </c>
      <c r="M70" s="74">
        <v>0</v>
      </c>
      <c r="N70" s="74">
        <v>0</v>
      </c>
      <c r="O70" s="63">
        <f t="shared" ref="O70:Q70" si="321">AA70+AD70+AG70+AJ70+AM70+AP70+AS70+AV70+AY70+BB70+BE70+BH70</f>
        <v>0</v>
      </c>
      <c r="P70" s="61">
        <f t="shared" si="321"/>
        <v>0</v>
      </c>
      <c r="Q70" s="61">
        <f t="shared" si="321"/>
        <v>0</v>
      </c>
      <c r="R70" s="61">
        <f t="shared" ref="R70:T70" si="322">IF(BK70=0,SUM(AA70+AD70+AG70+AJ70+AM70+AP70+AS70+AV70+AY70+BB70+BE70+BH70),BK70)</f>
        <v>0</v>
      </c>
      <c r="S70" s="61">
        <f t="shared" si="322"/>
        <v>0</v>
      </c>
      <c r="T70" s="61">
        <f t="shared" si="322"/>
        <v>0</v>
      </c>
      <c r="U70" s="63">
        <f t="shared" si="280"/>
        <v>0</v>
      </c>
      <c r="V70" s="63">
        <f t="shared" si="281"/>
        <v>0</v>
      </c>
      <c r="W70" s="63">
        <f t="shared" si="282"/>
        <v>0</v>
      </c>
      <c r="X70" s="64">
        <f t="shared" ref="X70:Y70" si="323">IF(O70&gt;0,O70/K70,0)</f>
        <v>0</v>
      </c>
      <c r="Y70" s="64">
        <f t="shared" si="323"/>
        <v>0</v>
      </c>
      <c r="Z70" s="64">
        <f t="shared" si="272"/>
        <v>0</v>
      </c>
      <c r="AA70" s="65"/>
      <c r="AB70" s="65"/>
      <c r="AC70" s="65"/>
      <c r="AD70" s="65"/>
      <c r="AE70" s="66"/>
      <c r="AF70" s="66"/>
      <c r="AG70" s="66"/>
      <c r="AH70" s="66"/>
      <c r="AI70" s="65"/>
      <c r="AJ70" s="65"/>
      <c r="AK70" s="65"/>
      <c r="AL70" s="65"/>
      <c r="AM70" s="65"/>
      <c r="AN70" s="65"/>
      <c r="AO70" s="65"/>
      <c r="AP70" s="65"/>
      <c r="AQ70" s="65"/>
      <c r="AR70" s="65"/>
      <c r="AS70" s="65"/>
      <c r="AT70" s="65"/>
      <c r="AU70" s="65"/>
      <c r="AV70" s="65"/>
      <c r="AW70" s="65"/>
      <c r="AX70" s="65"/>
      <c r="AY70" s="65"/>
      <c r="AZ70" s="65"/>
      <c r="BA70" s="65"/>
      <c r="BB70" s="65"/>
      <c r="BC70" s="65"/>
      <c r="BD70" s="65"/>
      <c r="BE70" s="65"/>
      <c r="BF70" s="65"/>
      <c r="BG70" s="65"/>
      <c r="BH70" s="65"/>
      <c r="BI70" s="65"/>
      <c r="BJ70" s="65"/>
      <c r="BK70" s="65">
        <v>0</v>
      </c>
      <c r="BL70" s="65">
        <v>0</v>
      </c>
      <c r="BM70" s="65">
        <v>0</v>
      </c>
      <c r="BN70" s="65">
        <f t="shared" si="284"/>
        <v>0</v>
      </c>
      <c r="BO70" s="67">
        <f t="shared" si="285"/>
        <v>0</v>
      </c>
      <c r="BP70" s="65">
        <f t="shared" si="286"/>
        <v>0</v>
      </c>
      <c r="BQ70" s="65">
        <f t="shared" si="287"/>
        <v>0</v>
      </c>
      <c r="BR70" s="65">
        <f t="shared" si="288"/>
        <v>0</v>
      </c>
      <c r="BS70" s="65">
        <f t="shared" si="289"/>
        <v>0</v>
      </c>
      <c r="BT70" s="65">
        <f t="shared" si="290"/>
        <v>0</v>
      </c>
      <c r="BU70" s="65">
        <f t="shared" si="291"/>
        <v>0</v>
      </c>
      <c r="BV70" s="65">
        <f t="shared" si="292"/>
        <v>0</v>
      </c>
      <c r="BW70" s="65">
        <f t="shared" si="293"/>
        <v>0</v>
      </c>
      <c r="BX70" s="6"/>
      <c r="BY70" s="6"/>
      <c r="BZ70" s="6"/>
      <c r="CA70" s="6"/>
      <c r="CB70" s="6"/>
      <c r="CC70" s="6"/>
      <c r="CD70" s="6"/>
      <c r="CE70" s="6"/>
      <c r="CF70" s="6"/>
      <c r="CG70" s="6"/>
    </row>
    <row r="71" spans="1:85" ht="15.75" customHeight="1">
      <c r="A71" s="52" t="s">
        <v>188</v>
      </c>
      <c r="B71" s="175"/>
      <c r="C71" s="176" t="s">
        <v>181</v>
      </c>
      <c r="D71" s="174" t="s">
        <v>189</v>
      </c>
      <c r="E71" s="56">
        <v>30000</v>
      </c>
      <c r="F71" s="57">
        <v>0</v>
      </c>
      <c r="G71" s="58">
        <f t="shared" si="277"/>
        <v>30000</v>
      </c>
      <c r="H71" s="57">
        <v>0</v>
      </c>
      <c r="I71" s="59">
        <f t="shared" si="267"/>
        <v>0.52925033333333338</v>
      </c>
      <c r="J71" s="59">
        <f t="shared" si="268"/>
        <v>0</v>
      </c>
      <c r="K71" s="74">
        <v>15877.51</v>
      </c>
      <c r="L71" s="74">
        <v>0</v>
      </c>
      <c r="M71" s="74">
        <v>0</v>
      </c>
      <c r="N71" s="74">
        <v>0</v>
      </c>
      <c r="O71" s="63">
        <f t="shared" ref="O71:Q71" si="324">AA71+AD71+AG71+AJ71+AM71+AP71+AS71+AV71+AY71+BB71+BE71+BH71</f>
        <v>0</v>
      </c>
      <c r="P71" s="61">
        <f t="shared" si="324"/>
        <v>0</v>
      </c>
      <c r="Q71" s="61">
        <f t="shared" si="324"/>
        <v>0</v>
      </c>
      <c r="R71" s="61">
        <f t="shared" ref="R71:T71" si="325">IF(BK71=0,SUM(AA71+AD71+AG71+AJ71+AM71+AP71+AS71+AV71+AY71+BB71+BE71+BH71),BK71)</f>
        <v>0</v>
      </c>
      <c r="S71" s="61">
        <f t="shared" si="325"/>
        <v>0</v>
      </c>
      <c r="T71" s="61">
        <f t="shared" si="325"/>
        <v>0</v>
      </c>
      <c r="U71" s="62">
        <f t="shared" si="280"/>
        <v>15877.51</v>
      </c>
      <c r="V71" s="63">
        <f t="shared" si="281"/>
        <v>0</v>
      </c>
      <c r="W71" s="63">
        <f t="shared" si="282"/>
        <v>0</v>
      </c>
      <c r="X71" s="64">
        <f t="shared" ref="X71:Y71" si="326">IF(O71&gt;0,O71/K71,0)</f>
        <v>0</v>
      </c>
      <c r="Y71" s="64">
        <f t="shared" si="326"/>
        <v>0</v>
      </c>
      <c r="Z71" s="64">
        <f t="shared" si="272"/>
        <v>0</v>
      </c>
      <c r="AA71" s="65"/>
      <c r="AB71" s="65"/>
      <c r="AC71" s="65"/>
      <c r="AD71" s="65"/>
      <c r="AE71" s="66"/>
      <c r="AF71" s="66"/>
      <c r="AG71" s="66"/>
      <c r="AH71" s="66"/>
      <c r="AI71" s="65"/>
      <c r="AJ71" s="65"/>
      <c r="AK71" s="65"/>
      <c r="AL71" s="65"/>
      <c r="AM71" s="65"/>
      <c r="AN71" s="65"/>
      <c r="AO71" s="65"/>
      <c r="AP71" s="65"/>
      <c r="AQ71" s="65"/>
      <c r="AR71" s="65"/>
      <c r="AS71" s="65"/>
      <c r="AT71" s="65"/>
      <c r="AU71" s="65"/>
      <c r="AV71" s="65"/>
      <c r="AW71" s="65"/>
      <c r="AX71" s="65"/>
      <c r="AY71" s="65"/>
      <c r="AZ71" s="65"/>
      <c r="BA71" s="65"/>
      <c r="BB71" s="65"/>
      <c r="BC71" s="65"/>
      <c r="BD71" s="65"/>
      <c r="BE71" s="65"/>
      <c r="BF71" s="65"/>
      <c r="BG71" s="65"/>
      <c r="BH71" s="65"/>
      <c r="BI71" s="65"/>
      <c r="BJ71" s="65"/>
      <c r="BK71" s="65">
        <v>0</v>
      </c>
      <c r="BL71" s="65">
        <v>0</v>
      </c>
      <c r="BM71" s="65">
        <v>0</v>
      </c>
      <c r="BN71" s="65">
        <f t="shared" si="284"/>
        <v>0</v>
      </c>
      <c r="BO71" s="67">
        <f t="shared" si="285"/>
        <v>0</v>
      </c>
      <c r="BP71" s="65">
        <f t="shared" si="286"/>
        <v>0</v>
      </c>
      <c r="BQ71" s="65">
        <f t="shared" si="287"/>
        <v>15877.51</v>
      </c>
      <c r="BR71" s="65">
        <f t="shared" si="288"/>
        <v>0</v>
      </c>
      <c r="BS71" s="65">
        <f t="shared" si="289"/>
        <v>15877.51</v>
      </c>
      <c r="BT71" s="65">
        <f t="shared" si="290"/>
        <v>0</v>
      </c>
      <c r="BU71" s="65">
        <f t="shared" si="291"/>
        <v>0</v>
      </c>
      <c r="BV71" s="65">
        <f t="shared" si="292"/>
        <v>15877.51</v>
      </c>
      <c r="BW71" s="65">
        <f t="shared" si="293"/>
        <v>15877.51</v>
      </c>
      <c r="BX71" s="6"/>
      <c r="BY71" s="6"/>
      <c r="BZ71" s="6"/>
      <c r="CA71" s="6"/>
      <c r="CB71" s="6"/>
      <c r="CC71" s="6"/>
      <c r="CD71" s="6"/>
      <c r="CE71" s="6"/>
      <c r="CF71" s="6"/>
      <c r="CG71" s="6"/>
    </row>
    <row r="72" spans="1:85" ht="15.75" customHeight="1">
      <c r="A72" s="52" t="s">
        <v>190</v>
      </c>
      <c r="B72" s="175"/>
      <c r="C72" s="176" t="s">
        <v>181</v>
      </c>
      <c r="D72" s="174" t="s">
        <v>191</v>
      </c>
      <c r="E72" s="56">
        <v>10000</v>
      </c>
      <c r="F72" s="57">
        <v>0</v>
      </c>
      <c r="G72" s="58">
        <f t="shared" si="277"/>
        <v>10000</v>
      </c>
      <c r="H72" s="57">
        <v>0</v>
      </c>
      <c r="I72" s="59">
        <f t="shared" si="267"/>
        <v>0.36727600000000005</v>
      </c>
      <c r="J72" s="59">
        <f t="shared" si="268"/>
        <v>0</v>
      </c>
      <c r="K72" s="74">
        <v>3672.76</v>
      </c>
      <c r="L72" s="74">
        <v>0</v>
      </c>
      <c r="M72" s="74">
        <v>0</v>
      </c>
      <c r="N72" s="74">
        <v>0</v>
      </c>
      <c r="O72" s="63">
        <f t="shared" ref="O72:Q72" si="327">AA72+AD72+AG72+AJ72+AM72+AP72+AS72+AV72+AY72+BB72+BE72+BH72</f>
        <v>0</v>
      </c>
      <c r="P72" s="61">
        <f t="shared" si="327"/>
        <v>0</v>
      </c>
      <c r="Q72" s="61">
        <f t="shared" si="327"/>
        <v>0</v>
      </c>
      <c r="R72" s="61">
        <f t="shared" ref="R72:T72" si="328">IF(BK72=0,SUM(AA72+AD72+AG72+AJ72+AM72+AP72+AS72+AV72+AY72+BB72+BE72+BH72),BK72)</f>
        <v>0</v>
      </c>
      <c r="S72" s="61">
        <f t="shared" si="328"/>
        <v>0</v>
      </c>
      <c r="T72" s="61">
        <f t="shared" si="328"/>
        <v>0</v>
      </c>
      <c r="U72" s="62">
        <f t="shared" si="280"/>
        <v>3672.76</v>
      </c>
      <c r="V72" s="63">
        <f t="shared" si="281"/>
        <v>0</v>
      </c>
      <c r="W72" s="63">
        <f t="shared" si="282"/>
        <v>0</v>
      </c>
      <c r="X72" s="64">
        <f t="shared" ref="X72:Y72" si="329">IF(O72&gt;0,O72/K72,0)</f>
        <v>0</v>
      </c>
      <c r="Y72" s="64">
        <f t="shared" si="329"/>
        <v>0</v>
      </c>
      <c r="Z72" s="64">
        <f t="shared" si="272"/>
        <v>0</v>
      </c>
      <c r="AA72" s="65"/>
      <c r="AB72" s="65"/>
      <c r="AC72" s="65"/>
      <c r="AD72" s="65"/>
      <c r="AE72" s="66"/>
      <c r="AF72" s="66"/>
      <c r="AG72" s="66"/>
      <c r="AH72" s="66"/>
      <c r="AI72" s="65"/>
      <c r="AJ72" s="65"/>
      <c r="AK72" s="65"/>
      <c r="AL72" s="65"/>
      <c r="AM72" s="65"/>
      <c r="AN72" s="65"/>
      <c r="AO72" s="65"/>
      <c r="AP72" s="65"/>
      <c r="AQ72" s="65"/>
      <c r="AR72" s="65"/>
      <c r="AS72" s="65"/>
      <c r="AT72" s="65"/>
      <c r="AU72" s="65"/>
      <c r="AV72" s="65"/>
      <c r="AW72" s="65"/>
      <c r="AX72" s="65"/>
      <c r="AY72" s="65"/>
      <c r="AZ72" s="65"/>
      <c r="BA72" s="65"/>
      <c r="BB72" s="65"/>
      <c r="BC72" s="65"/>
      <c r="BD72" s="65"/>
      <c r="BE72" s="65"/>
      <c r="BF72" s="65"/>
      <c r="BG72" s="65"/>
      <c r="BH72" s="65"/>
      <c r="BI72" s="65"/>
      <c r="BJ72" s="65"/>
      <c r="BK72" s="65">
        <v>0</v>
      </c>
      <c r="BL72" s="65">
        <v>0</v>
      </c>
      <c r="BM72" s="65">
        <v>0</v>
      </c>
      <c r="BN72" s="65">
        <f t="shared" si="284"/>
        <v>0</v>
      </c>
      <c r="BO72" s="67">
        <f t="shared" si="285"/>
        <v>0</v>
      </c>
      <c r="BP72" s="65">
        <f t="shared" si="286"/>
        <v>0</v>
      </c>
      <c r="BQ72" s="65">
        <f t="shared" si="287"/>
        <v>3672.76</v>
      </c>
      <c r="BR72" s="65">
        <f t="shared" si="288"/>
        <v>0</v>
      </c>
      <c r="BS72" s="65">
        <f t="shared" si="289"/>
        <v>3672.76</v>
      </c>
      <c r="BT72" s="65">
        <f t="shared" si="290"/>
        <v>0</v>
      </c>
      <c r="BU72" s="65">
        <f t="shared" si="291"/>
        <v>0</v>
      </c>
      <c r="BV72" s="65">
        <f t="shared" si="292"/>
        <v>3672.76</v>
      </c>
      <c r="BW72" s="65">
        <f t="shared" si="293"/>
        <v>3672.76</v>
      </c>
      <c r="BX72" s="6"/>
      <c r="BY72" s="6"/>
      <c r="BZ72" s="6"/>
      <c r="CA72" s="6"/>
      <c r="CB72" s="6"/>
      <c r="CC72" s="6"/>
      <c r="CD72" s="6"/>
      <c r="CE72" s="6"/>
      <c r="CF72" s="6"/>
      <c r="CG72" s="6"/>
    </row>
    <row r="73" spans="1:85" ht="15.75" customHeight="1">
      <c r="A73" s="177"/>
      <c r="B73" s="178" t="s">
        <v>192</v>
      </c>
      <c r="C73" s="176" t="s">
        <v>181</v>
      </c>
      <c r="D73" s="171" t="s">
        <v>193</v>
      </c>
      <c r="E73" s="56">
        <v>0</v>
      </c>
      <c r="F73" s="57">
        <v>0</v>
      </c>
      <c r="G73" s="58">
        <f t="shared" si="277"/>
        <v>0</v>
      </c>
      <c r="H73" s="57">
        <v>0</v>
      </c>
      <c r="I73" s="59">
        <f t="shared" si="267"/>
        <v>0</v>
      </c>
      <c r="J73" s="59">
        <f t="shared" si="268"/>
        <v>0</v>
      </c>
      <c r="K73" s="74">
        <v>0</v>
      </c>
      <c r="L73" s="179">
        <v>2672.5</v>
      </c>
      <c r="M73" s="74">
        <v>0</v>
      </c>
      <c r="N73" s="74">
        <v>0</v>
      </c>
      <c r="O73" s="63">
        <f t="shared" ref="O73:Q73" si="330">AA73+AD73+AG73+AJ73+AM73+AP73+AS73+AV73+AY73+BB73+BE73+BH73</f>
        <v>0</v>
      </c>
      <c r="P73" s="61">
        <f t="shared" si="330"/>
        <v>2672.5</v>
      </c>
      <c r="Q73" s="61">
        <f t="shared" si="330"/>
        <v>0</v>
      </c>
      <c r="R73" s="61">
        <f t="shared" ref="R73:T73" si="331">IF(BK73=0,SUM(AA73+AD73+AG73+AJ73+AM73+AP73+AS73+AV73+AY73+BB73+BE73+BH73),BK73)</f>
        <v>0</v>
      </c>
      <c r="S73" s="61">
        <f t="shared" si="331"/>
        <v>2672.5</v>
      </c>
      <c r="T73" s="61">
        <f t="shared" si="331"/>
        <v>0</v>
      </c>
      <c r="U73" s="63">
        <f t="shared" si="280"/>
        <v>0</v>
      </c>
      <c r="V73" s="63">
        <f t="shared" si="281"/>
        <v>0</v>
      </c>
      <c r="W73" s="63">
        <f t="shared" si="282"/>
        <v>0</v>
      </c>
      <c r="X73" s="64">
        <f t="shared" ref="X73:Y73" si="332">IF(O73&gt;0,O73/K73,0)</f>
        <v>0</v>
      </c>
      <c r="Y73" s="64">
        <f t="shared" si="332"/>
        <v>1</v>
      </c>
      <c r="Z73" s="64">
        <f t="shared" si="272"/>
        <v>0</v>
      </c>
      <c r="AA73" s="65"/>
      <c r="AB73" s="65"/>
      <c r="AC73" s="65"/>
      <c r="AD73" s="65"/>
      <c r="AE73" s="113">
        <v>2672.5</v>
      </c>
      <c r="AF73" s="66"/>
      <c r="AG73" s="66"/>
      <c r="AH73" s="66"/>
      <c r="AI73" s="65"/>
      <c r="AJ73" s="65"/>
      <c r="AK73" s="65"/>
      <c r="AL73" s="65"/>
      <c r="AM73" s="65"/>
      <c r="AN73" s="65"/>
      <c r="AO73" s="65"/>
      <c r="AP73" s="65"/>
      <c r="AQ73" s="65"/>
      <c r="AR73" s="65"/>
      <c r="AS73" s="65"/>
      <c r="AT73" s="65"/>
      <c r="AU73" s="65"/>
      <c r="AV73" s="65"/>
      <c r="AW73" s="65"/>
      <c r="AX73" s="65"/>
      <c r="AY73" s="65"/>
      <c r="AZ73" s="65"/>
      <c r="BA73" s="65"/>
      <c r="BB73" s="65"/>
      <c r="BC73" s="65"/>
      <c r="BD73" s="65"/>
      <c r="BE73" s="65"/>
      <c r="BF73" s="65"/>
      <c r="BG73" s="65"/>
      <c r="BH73" s="65"/>
      <c r="BI73" s="65"/>
      <c r="BJ73" s="65"/>
      <c r="BK73" s="65">
        <v>0</v>
      </c>
      <c r="BL73" s="65">
        <v>0</v>
      </c>
      <c r="BM73" s="65">
        <v>0</v>
      </c>
      <c r="BN73" s="65">
        <f t="shared" si="284"/>
        <v>0</v>
      </c>
      <c r="BO73" s="67">
        <f t="shared" si="285"/>
        <v>0</v>
      </c>
      <c r="BP73" s="65">
        <f t="shared" si="286"/>
        <v>0</v>
      </c>
      <c r="BQ73" s="65">
        <f t="shared" si="287"/>
        <v>0</v>
      </c>
      <c r="BR73" s="65">
        <f t="shared" si="288"/>
        <v>0</v>
      </c>
      <c r="BS73" s="65">
        <f t="shared" si="289"/>
        <v>0</v>
      </c>
      <c r="BT73" s="65">
        <f t="shared" si="290"/>
        <v>0</v>
      </c>
      <c r="BU73" s="65">
        <f t="shared" si="291"/>
        <v>0</v>
      </c>
      <c r="BV73" s="65">
        <f t="shared" si="292"/>
        <v>0</v>
      </c>
      <c r="BW73" s="65">
        <f t="shared" si="293"/>
        <v>0</v>
      </c>
      <c r="BX73" s="6"/>
      <c r="BY73" s="6"/>
      <c r="BZ73" s="6"/>
      <c r="CA73" s="6"/>
      <c r="CB73" s="6"/>
      <c r="CC73" s="6"/>
      <c r="CD73" s="6"/>
      <c r="CE73" s="6"/>
      <c r="CF73" s="6"/>
      <c r="CG73" s="6"/>
    </row>
    <row r="74" spans="1:85" ht="15.75" customHeight="1">
      <c r="A74" s="177"/>
      <c r="B74" s="177" t="s">
        <v>194</v>
      </c>
      <c r="C74" s="176" t="s">
        <v>181</v>
      </c>
      <c r="D74" s="171" t="s">
        <v>195</v>
      </c>
      <c r="E74" s="56">
        <v>40000</v>
      </c>
      <c r="F74" s="57">
        <v>0</v>
      </c>
      <c r="G74" s="58">
        <f t="shared" si="277"/>
        <v>40000</v>
      </c>
      <c r="H74" s="57">
        <v>0</v>
      </c>
      <c r="I74" s="59">
        <f t="shared" si="267"/>
        <v>0</v>
      </c>
      <c r="J74" s="59">
        <f t="shared" si="268"/>
        <v>0</v>
      </c>
      <c r="K74" s="74">
        <v>0</v>
      </c>
      <c r="L74" s="172">
        <v>4821.8900000000003</v>
      </c>
      <c r="M74" s="74">
        <v>0</v>
      </c>
      <c r="N74" s="74">
        <v>0</v>
      </c>
      <c r="O74" s="63">
        <f t="shared" ref="O74:Q74" si="333">AA74+AD74+AG74+AJ74+AM74+AP74+AS74+AV74+AY74+BB74+BE74+BH74</f>
        <v>0</v>
      </c>
      <c r="P74" s="61">
        <f t="shared" si="333"/>
        <v>0</v>
      </c>
      <c r="Q74" s="61">
        <f t="shared" si="333"/>
        <v>0</v>
      </c>
      <c r="R74" s="61">
        <f t="shared" ref="R74:T74" si="334">IF(BK74=0,SUM(AA74+AD74+AG74+AJ74+AM74+AP74+AS74+AV74+AY74+BB74+BE74+BH74),BK74)</f>
        <v>0</v>
      </c>
      <c r="S74" s="61">
        <f t="shared" si="334"/>
        <v>0</v>
      </c>
      <c r="T74" s="61">
        <f t="shared" si="334"/>
        <v>0</v>
      </c>
      <c r="U74" s="63">
        <f t="shared" si="280"/>
        <v>0</v>
      </c>
      <c r="V74" s="170">
        <f t="shared" si="281"/>
        <v>4821.8900000000003</v>
      </c>
      <c r="W74" s="63">
        <f t="shared" si="282"/>
        <v>0</v>
      </c>
      <c r="X74" s="64">
        <f t="shared" ref="X74:Y74" si="335">IF(O74&gt;0,O74/K74,0)</f>
        <v>0</v>
      </c>
      <c r="Y74" s="64">
        <f t="shared" si="335"/>
        <v>0</v>
      </c>
      <c r="Z74" s="64">
        <f t="shared" si="272"/>
        <v>0</v>
      </c>
      <c r="AA74" s="65"/>
      <c r="AB74" s="65"/>
      <c r="AC74" s="65"/>
      <c r="AD74" s="65"/>
      <c r="AE74" s="66"/>
      <c r="AF74" s="66"/>
      <c r="AG74" s="66"/>
      <c r="AH74" s="66"/>
      <c r="AI74" s="65"/>
      <c r="AJ74" s="65"/>
      <c r="AK74" s="65"/>
      <c r="AL74" s="65"/>
      <c r="AM74" s="65"/>
      <c r="AN74" s="65"/>
      <c r="AO74" s="65"/>
      <c r="AP74" s="65"/>
      <c r="AQ74" s="65"/>
      <c r="AR74" s="65"/>
      <c r="AS74" s="65"/>
      <c r="AT74" s="65"/>
      <c r="AU74" s="65"/>
      <c r="AV74" s="65"/>
      <c r="AW74" s="65"/>
      <c r="AX74" s="65"/>
      <c r="AY74" s="65"/>
      <c r="AZ74" s="65"/>
      <c r="BA74" s="65"/>
      <c r="BB74" s="65"/>
      <c r="BC74" s="65"/>
      <c r="BD74" s="65"/>
      <c r="BE74" s="65"/>
      <c r="BF74" s="65"/>
      <c r="BG74" s="65"/>
      <c r="BH74" s="65"/>
      <c r="BI74" s="65"/>
      <c r="BJ74" s="65"/>
      <c r="BK74" s="65">
        <v>0</v>
      </c>
      <c r="BL74" s="65">
        <v>0</v>
      </c>
      <c r="BM74" s="65">
        <v>0</v>
      </c>
      <c r="BN74" s="65">
        <f t="shared" si="284"/>
        <v>0</v>
      </c>
      <c r="BO74" s="67">
        <f t="shared" si="285"/>
        <v>0</v>
      </c>
      <c r="BP74" s="65">
        <f t="shared" si="286"/>
        <v>0</v>
      </c>
      <c r="BQ74" s="65">
        <f t="shared" si="287"/>
        <v>0</v>
      </c>
      <c r="BR74" s="65">
        <f t="shared" si="288"/>
        <v>0</v>
      </c>
      <c r="BS74" s="65">
        <f t="shared" si="289"/>
        <v>0</v>
      </c>
      <c r="BT74" s="65">
        <f t="shared" si="290"/>
        <v>4821.8900000000003</v>
      </c>
      <c r="BU74" s="65">
        <f t="shared" si="291"/>
        <v>0</v>
      </c>
      <c r="BV74" s="65">
        <f t="shared" si="292"/>
        <v>0</v>
      </c>
      <c r="BW74" s="65">
        <f t="shared" si="293"/>
        <v>4821.8900000000003</v>
      </c>
      <c r="BX74" s="6"/>
      <c r="BY74" s="6"/>
      <c r="BZ74" s="6"/>
      <c r="CA74" s="6"/>
      <c r="CB74" s="6"/>
      <c r="CC74" s="6"/>
      <c r="CD74" s="6"/>
      <c r="CE74" s="6"/>
      <c r="CF74" s="6"/>
      <c r="CG74" s="6"/>
    </row>
    <row r="75" spans="1:85" ht="15.75" customHeight="1">
      <c r="A75" s="180" t="s">
        <v>196</v>
      </c>
      <c r="C75" s="176" t="s">
        <v>181</v>
      </c>
      <c r="D75" s="174" t="s">
        <v>197</v>
      </c>
      <c r="E75" s="56">
        <v>0</v>
      </c>
      <c r="F75" s="57">
        <v>0</v>
      </c>
      <c r="G75" s="58">
        <f t="shared" si="277"/>
        <v>0</v>
      </c>
      <c r="H75" s="57">
        <v>0</v>
      </c>
      <c r="I75" s="59">
        <f t="shared" si="267"/>
        <v>0</v>
      </c>
      <c r="J75" s="59">
        <f t="shared" si="268"/>
        <v>0</v>
      </c>
      <c r="K75" s="74">
        <v>19780</v>
      </c>
      <c r="L75" s="181">
        <v>0</v>
      </c>
      <c r="M75" s="74">
        <v>0</v>
      </c>
      <c r="N75" s="74">
        <v>0</v>
      </c>
      <c r="O75" s="63">
        <f t="shared" ref="O75:Q75" si="336">AA75+AD75+AG75+AJ75+AM75+AP75+AS75+AV75+AY75+BB75+BE75+BH75</f>
        <v>0</v>
      </c>
      <c r="P75" s="61">
        <f t="shared" si="336"/>
        <v>0</v>
      </c>
      <c r="Q75" s="61">
        <f t="shared" si="336"/>
        <v>0</v>
      </c>
      <c r="R75" s="61">
        <f t="shared" ref="R75:T75" si="337">IF(BK75=0,SUM(AA75+AD75+AG75+AJ75+AM75+AP75+AS75+AV75+AY75+BB75+BE75+BH75),BK75)</f>
        <v>0</v>
      </c>
      <c r="S75" s="61">
        <f t="shared" si="337"/>
        <v>0</v>
      </c>
      <c r="T75" s="61">
        <f t="shared" si="337"/>
        <v>0</v>
      </c>
      <c r="U75" s="62">
        <f t="shared" si="280"/>
        <v>19780</v>
      </c>
      <c r="V75" s="170">
        <f t="shared" si="281"/>
        <v>0</v>
      </c>
      <c r="W75" s="63">
        <f t="shared" si="282"/>
        <v>0</v>
      </c>
      <c r="X75" s="64">
        <f t="shared" ref="X75:Y75" si="338">IF(O75&gt;0,O75/K75,0)</f>
        <v>0</v>
      </c>
      <c r="Y75" s="64">
        <f t="shared" si="338"/>
        <v>0</v>
      </c>
      <c r="Z75" s="64">
        <f t="shared" si="272"/>
        <v>0</v>
      </c>
      <c r="AA75" s="65"/>
      <c r="AB75" s="65"/>
      <c r="AC75" s="65"/>
      <c r="AD75" s="65"/>
      <c r="AE75" s="66"/>
      <c r="AF75" s="66"/>
      <c r="AG75" s="66"/>
      <c r="AH75" s="66"/>
      <c r="AI75" s="65"/>
      <c r="AJ75" s="65"/>
      <c r="AK75" s="65"/>
      <c r="AL75" s="65"/>
      <c r="AM75" s="65"/>
      <c r="AN75" s="65"/>
      <c r="AO75" s="65"/>
      <c r="AP75" s="65"/>
      <c r="AQ75" s="65"/>
      <c r="AR75" s="65"/>
      <c r="AS75" s="65"/>
      <c r="AT75" s="65"/>
      <c r="AU75" s="65"/>
      <c r="AV75" s="65"/>
      <c r="AW75" s="65"/>
      <c r="AX75" s="65"/>
      <c r="AY75" s="65"/>
      <c r="AZ75" s="65"/>
      <c r="BA75" s="65"/>
      <c r="BB75" s="65"/>
      <c r="BC75" s="65"/>
      <c r="BD75" s="65"/>
      <c r="BE75" s="65"/>
      <c r="BF75" s="65"/>
      <c r="BG75" s="65"/>
      <c r="BH75" s="65"/>
      <c r="BI75" s="65"/>
      <c r="BJ75" s="65"/>
      <c r="BK75" s="65">
        <v>0</v>
      </c>
      <c r="BL75" s="65">
        <v>0</v>
      </c>
      <c r="BM75" s="65">
        <v>0</v>
      </c>
      <c r="BN75" s="65">
        <f t="shared" si="284"/>
        <v>0</v>
      </c>
      <c r="BO75" s="67">
        <f t="shared" si="285"/>
        <v>0</v>
      </c>
      <c r="BP75" s="65">
        <f t="shared" si="286"/>
        <v>0</v>
      </c>
      <c r="BQ75" s="65">
        <f t="shared" si="287"/>
        <v>19780</v>
      </c>
      <c r="BR75" s="65">
        <f t="shared" si="288"/>
        <v>0</v>
      </c>
      <c r="BS75" s="65">
        <f t="shared" si="289"/>
        <v>19780</v>
      </c>
      <c r="BT75" s="65">
        <f t="shared" si="290"/>
        <v>0</v>
      </c>
      <c r="BU75" s="65">
        <f t="shared" si="291"/>
        <v>0</v>
      </c>
      <c r="BV75" s="65">
        <f t="shared" si="292"/>
        <v>19780</v>
      </c>
      <c r="BW75" s="65">
        <f t="shared" si="293"/>
        <v>19780</v>
      </c>
      <c r="BX75" s="6"/>
      <c r="BY75" s="6"/>
      <c r="BZ75" s="6"/>
      <c r="CA75" s="6"/>
      <c r="CB75" s="6"/>
      <c r="CC75" s="6"/>
      <c r="CD75" s="6"/>
      <c r="CE75" s="6"/>
      <c r="CF75" s="6"/>
      <c r="CG75" s="6"/>
    </row>
    <row r="76" spans="1:85" ht="15.75" customHeight="1">
      <c r="A76" s="182"/>
      <c r="B76" s="69"/>
      <c r="C76" s="176" t="s">
        <v>198</v>
      </c>
      <c r="D76" s="171" t="s">
        <v>199</v>
      </c>
      <c r="E76" s="56">
        <v>75000</v>
      </c>
      <c r="F76" s="57">
        <v>0</v>
      </c>
      <c r="G76" s="58">
        <f t="shared" si="277"/>
        <v>75000</v>
      </c>
      <c r="H76" s="57">
        <v>0</v>
      </c>
      <c r="I76" s="59">
        <f t="shared" si="267"/>
        <v>0</v>
      </c>
      <c r="J76" s="59">
        <f t="shared" si="268"/>
        <v>0</v>
      </c>
      <c r="K76" s="74">
        <v>0</v>
      </c>
      <c r="L76" s="74">
        <v>0</v>
      </c>
      <c r="M76" s="74">
        <v>0</v>
      </c>
      <c r="N76" s="74">
        <v>0</v>
      </c>
      <c r="O76" s="63">
        <f t="shared" ref="O76:Q76" si="339">AA76+AD76+AG76+AJ76+AM76+AP76+AS76+AV76+AY76+BB76+BE76+BH76</f>
        <v>0</v>
      </c>
      <c r="P76" s="61">
        <f t="shared" si="339"/>
        <v>0</v>
      </c>
      <c r="Q76" s="61">
        <f t="shared" si="339"/>
        <v>0</v>
      </c>
      <c r="R76" s="61">
        <f t="shared" ref="R76:T76" si="340">IF(BK76=0,SUM(AA76+AD76+AG76+AJ76+AM76+AP76+AS76+AV76+AY76+BB76+BE76+BH76),BK76)</f>
        <v>0</v>
      </c>
      <c r="S76" s="61">
        <f t="shared" si="340"/>
        <v>0</v>
      </c>
      <c r="T76" s="61">
        <f t="shared" si="340"/>
        <v>0</v>
      </c>
      <c r="U76" s="63">
        <f t="shared" si="280"/>
        <v>0</v>
      </c>
      <c r="V76" s="63">
        <f t="shared" si="281"/>
        <v>0</v>
      </c>
      <c r="W76" s="63">
        <f t="shared" si="282"/>
        <v>0</v>
      </c>
      <c r="X76" s="64">
        <f t="shared" ref="X76:Y76" si="341">IF(O76&gt;0,O76/K76,0)</f>
        <v>0</v>
      </c>
      <c r="Y76" s="64">
        <f t="shared" si="341"/>
        <v>0</v>
      </c>
      <c r="Z76" s="64">
        <f t="shared" si="272"/>
        <v>0</v>
      </c>
      <c r="AA76" s="65"/>
      <c r="AB76" s="65"/>
      <c r="AC76" s="65"/>
      <c r="AD76" s="65"/>
      <c r="AE76" s="66"/>
      <c r="AF76" s="66"/>
      <c r="AG76" s="66"/>
      <c r="AH76" s="66"/>
      <c r="AI76" s="65"/>
      <c r="AJ76" s="65"/>
      <c r="AK76" s="65"/>
      <c r="AL76" s="65"/>
      <c r="AM76" s="65"/>
      <c r="AN76" s="65"/>
      <c r="AO76" s="65"/>
      <c r="AP76" s="65"/>
      <c r="AQ76" s="65"/>
      <c r="AR76" s="65"/>
      <c r="AS76" s="65"/>
      <c r="AT76" s="65"/>
      <c r="AU76" s="65"/>
      <c r="AV76" s="65"/>
      <c r="AW76" s="65"/>
      <c r="AX76" s="65"/>
      <c r="AY76" s="65"/>
      <c r="AZ76" s="65"/>
      <c r="BA76" s="65"/>
      <c r="BB76" s="65"/>
      <c r="BC76" s="65"/>
      <c r="BD76" s="65"/>
      <c r="BE76" s="65"/>
      <c r="BF76" s="65"/>
      <c r="BG76" s="65"/>
      <c r="BH76" s="65"/>
      <c r="BI76" s="65"/>
      <c r="BJ76" s="65"/>
      <c r="BK76" s="65">
        <v>0</v>
      </c>
      <c r="BL76" s="65">
        <v>0</v>
      </c>
      <c r="BM76" s="65">
        <v>0</v>
      </c>
      <c r="BN76" s="65">
        <f t="shared" si="284"/>
        <v>0</v>
      </c>
      <c r="BO76" s="67">
        <f t="shared" si="285"/>
        <v>0</v>
      </c>
      <c r="BP76" s="65">
        <f t="shared" si="286"/>
        <v>0</v>
      </c>
      <c r="BQ76" s="65">
        <f t="shared" si="287"/>
        <v>0</v>
      </c>
      <c r="BR76" s="65">
        <f t="shared" si="288"/>
        <v>0</v>
      </c>
      <c r="BS76" s="65">
        <f t="shared" si="289"/>
        <v>0</v>
      </c>
      <c r="BT76" s="65">
        <f t="shared" si="290"/>
        <v>0</v>
      </c>
      <c r="BU76" s="65">
        <f t="shared" si="291"/>
        <v>0</v>
      </c>
      <c r="BV76" s="65">
        <f t="shared" si="292"/>
        <v>0</v>
      </c>
      <c r="BW76" s="65">
        <f t="shared" si="293"/>
        <v>0</v>
      </c>
      <c r="BX76" s="6"/>
      <c r="BY76" s="6"/>
      <c r="BZ76" s="6"/>
      <c r="CA76" s="6"/>
      <c r="CB76" s="6"/>
      <c r="CC76" s="6"/>
      <c r="CD76" s="6"/>
      <c r="CE76" s="6"/>
      <c r="CF76" s="6"/>
      <c r="CG76" s="6"/>
    </row>
    <row r="77" spans="1:85" ht="15.75" customHeight="1">
      <c r="A77" s="52" t="s">
        <v>200</v>
      </c>
      <c r="B77" s="102"/>
      <c r="C77" s="183" t="s">
        <v>201</v>
      </c>
      <c r="D77" s="184" t="s">
        <v>202</v>
      </c>
      <c r="E77" s="56">
        <v>7000</v>
      </c>
      <c r="F77" s="57">
        <v>0</v>
      </c>
      <c r="G77" s="58">
        <f t="shared" si="277"/>
        <v>7000</v>
      </c>
      <c r="H77" s="57">
        <v>0</v>
      </c>
      <c r="I77" s="59">
        <f t="shared" si="267"/>
        <v>0.37857142857142856</v>
      </c>
      <c r="J77" s="59">
        <f t="shared" si="268"/>
        <v>0.12911857142857144</v>
      </c>
      <c r="K77" s="74">
        <f>1000+650+1000</f>
        <v>2650</v>
      </c>
      <c r="L77" s="74">
        <v>0</v>
      </c>
      <c r="M77" s="74">
        <v>0</v>
      </c>
      <c r="N77" s="74">
        <v>0</v>
      </c>
      <c r="O77" s="63">
        <f t="shared" ref="O77:Q77" si="342">AA77+AD77+AG77+AJ77+AM77+AP77+AS77+AV77+AY77+BB77+BE77+BH77</f>
        <v>903.83</v>
      </c>
      <c r="P77" s="61">
        <f t="shared" si="342"/>
        <v>0</v>
      </c>
      <c r="Q77" s="61">
        <f t="shared" si="342"/>
        <v>0</v>
      </c>
      <c r="R77" s="61">
        <f t="shared" ref="R77:T77" si="343">IF(BK77=0,SUM(AA77+AD77+AG77+AJ77+AM77+AP77+AS77+AV77+AY77+BB77+BE77+BH77),BK77)</f>
        <v>903.83</v>
      </c>
      <c r="S77" s="61">
        <f t="shared" si="343"/>
        <v>0</v>
      </c>
      <c r="T77" s="61">
        <f t="shared" si="343"/>
        <v>0</v>
      </c>
      <c r="U77" s="62">
        <f t="shared" si="280"/>
        <v>1746.17</v>
      </c>
      <c r="V77" s="63">
        <f t="shared" si="281"/>
        <v>0</v>
      </c>
      <c r="W77" s="63">
        <f t="shared" si="282"/>
        <v>0</v>
      </c>
      <c r="X77" s="64">
        <f t="shared" ref="X77:Y77" si="344">IF(O77&gt;0,O77/K77,0)</f>
        <v>0.34106792452830192</v>
      </c>
      <c r="Y77" s="64">
        <f t="shared" si="344"/>
        <v>0</v>
      </c>
      <c r="Z77" s="64">
        <f t="shared" si="272"/>
        <v>0</v>
      </c>
      <c r="AA77" s="65">
        <f>126.9+126.9</f>
        <v>253.8</v>
      </c>
      <c r="AB77" s="65"/>
      <c r="AC77" s="65"/>
      <c r="AD77" s="65"/>
      <c r="AE77" s="66"/>
      <c r="AF77" s="66"/>
      <c r="AG77" s="66">
        <f>137.27+126.9</f>
        <v>264.17</v>
      </c>
      <c r="AH77" s="66"/>
      <c r="AI77" s="65"/>
      <c r="AJ77" s="65"/>
      <c r="AK77" s="65"/>
      <c r="AL77" s="65"/>
      <c r="AM77" s="100">
        <v>126.9</v>
      </c>
      <c r="AN77" s="65"/>
      <c r="AO77" s="65"/>
      <c r="AP77" s="65">
        <f>129.44+129.52</f>
        <v>258.96000000000004</v>
      </c>
      <c r="AQ77" s="65"/>
      <c r="AR77" s="65"/>
      <c r="AS77" s="65"/>
      <c r="AT77" s="65"/>
      <c r="AU77" s="65"/>
      <c r="AV77" s="65"/>
      <c r="AW77" s="65"/>
      <c r="AX77" s="65"/>
      <c r="AY77" s="65"/>
      <c r="AZ77" s="65"/>
      <c r="BA77" s="65"/>
      <c r="BB77" s="65"/>
      <c r="BC77" s="65"/>
      <c r="BD77" s="65"/>
      <c r="BE77" s="65"/>
      <c r="BF77" s="65"/>
      <c r="BG77" s="65"/>
      <c r="BH77" s="65"/>
      <c r="BI77" s="65"/>
      <c r="BJ77" s="65"/>
      <c r="BK77" s="65">
        <v>0</v>
      </c>
      <c r="BL77" s="65">
        <v>0</v>
      </c>
      <c r="BM77" s="65">
        <v>0</v>
      </c>
      <c r="BN77" s="65">
        <f t="shared" si="284"/>
        <v>903.83</v>
      </c>
      <c r="BO77" s="67">
        <f t="shared" si="285"/>
        <v>0</v>
      </c>
      <c r="BP77" s="65">
        <f t="shared" si="286"/>
        <v>903.83</v>
      </c>
      <c r="BQ77" s="65">
        <f t="shared" si="287"/>
        <v>1746.17</v>
      </c>
      <c r="BR77" s="65">
        <f t="shared" si="288"/>
        <v>0</v>
      </c>
      <c r="BS77" s="65">
        <f t="shared" si="289"/>
        <v>1746.17</v>
      </c>
      <c r="BT77" s="65">
        <f t="shared" si="290"/>
        <v>0</v>
      </c>
      <c r="BU77" s="65">
        <f t="shared" si="291"/>
        <v>903.83</v>
      </c>
      <c r="BV77" s="65">
        <f t="shared" si="292"/>
        <v>1746.17</v>
      </c>
      <c r="BW77" s="65">
        <f t="shared" si="293"/>
        <v>2650</v>
      </c>
      <c r="BX77" s="6"/>
      <c r="BY77" s="6"/>
      <c r="BZ77" s="6"/>
      <c r="CA77" s="6"/>
      <c r="CB77" s="6"/>
      <c r="CC77" s="6"/>
      <c r="CD77" s="6"/>
      <c r="CE77" s="6"/>
      <c r="CF77" s="6"/>
      <c r="CG77" s="6"/>
    </row>
    <row r="78" spans="1:85" ht="15.75" customHeight="1">
      <c r="A78" s="71"/>
      <c r="B78" s="71" t="s">
        <v>203</v>
      </c>
      <c r="C78" s="176" t="s">
        <v>204</v>
      </c>
      <c r="D78" s="70" t="s">
        <v>205</v>
      </c>
      <c r="E78" s="56">
        <v>8000</v>
      </c>
      <c r="F78" s="57">
        <v>0</v>
      </c>
      <c r="G78" s="58">
        <f t="shared" si="277"/>
        <v>8000</v>
      </c>
      <c r="H78" s="57">
        <v>0</v>
      </c>
      <c r="I78" s="59">
        <f t="shared" si="267"/>
        <v>0</v>
      </c>
      <c r="J78" s="59">
        <f t="shared" si="268"/>
        <v>0</v>
      </c>
      <c r="K78" s="74">
        <v>0</v>
      </c>
      <c r="L78" s="100">
        <v>554.98</v>
      </c>
      <c r="M78" s="74">
        <v>0</v>
      </c>
      <c r="N78" s="74">
        <v>0</v>
      </c>
      <c r="O78" s="61">
        <f t="shared" ref="O78:Q78" si="345">AA78+AD78+AG78+AJ78+AM78+AP78+AS78+AV78+AY78+BB78+BE78+BH78</f>
        <v>0</v>
      </c>
      <c r="P78" s="61">
        <f t="shared" si="345"/>
        <v>237.39</v>
      </c>
      <c r="Q78" s="61">
        <f t="shared" si="345"/>
        <v>0</v>
      </c>
      <c r="R78" s="61">
        <f t="shared" ref="R78:T78" si="346">IF(BK78=0,SUM(AA78+AD78+AG78+AJ78+AM78+AP78+AS78+AV78+AY78+BB78+BE78+BH78),BK78)</f>
        <v>0</v>
      </c>
      <c r="S78" s="61">
        <f t="shared" si="346"/>
        <v>237.39</v>
      </c>
      <c r="T78" s="61">
        <f t="shared" si="346"/>
        <v>0</v>
      </c>
      <c r="U78" s="63">
        <f t="shared" si="280"/>
        <v>0</v>
      </c>
      <c r="V78" s="62">
        <f t="shared" si="281"/>
        <v>317.59000000000003</v>
      </c>
      <c r="W78" s="63">
        <f t="shared" si="282"/>
        <v>0</v>
      </c>
      <c r="X78" s="64">
        <f t="shared" ref="X78:Y78" si="347">IF(O78&gt;0,O78/K78,0)</f>
        <v>0</v>
      </c>
      <c r="Y78" s="64">
        <f t="shared" si="347"/>
        <v>0.42774514396915198</v>
      </c>
      <c r="Z78" s="64">
        <f t="shared" si="272"/>
        <v>0</v>
      </c>
      <c r="AA78" s="65"/>
      <c r="AB78" s="65"/>
      <c r="AC78" s="65"/>
      <c r="AD78" s="65"/>
      <c r="AE78" s="66"/>
      <c r="AF78" s="66"/>
      <c r="AG78" s="66"/>
      <c r="AH78" s="66">
        <f>83.76</f>
        <v>83.76</v>
      </c>
      <c r="AI78" s="65"/>
      <c r="AJ78" s="65"/>
      <c r="AK78" s="100">
        <v>20.399999999999999</v>
      </c>
      <c r="AL78" s="65"/>
      <c r="AM78" s="65"/>
      <c r="AN78" s="65"/>
      <c r="AO78" s="65"/>
      <c r="AP78" s="65"/>
      <c r="AQ78" s="65">
        <f>133.23</f>
        <v>133.22999999999999</v>
      </c>
      <c r="AR78" s="65"/>
      <c r="AS78" s="65"/>
      <c r="AT78" s="65"/>
      <c r="AU78" s="65"/>
      <c r="AV78" s="65"/>
      <c r="AW78" s="65"/>
      <c r="AX78" s="65"/>
      <c r="AY78" s="65"/>
      <c r="AZ78" s="65"/>
      <c r="BA78" s="65"/>
      <c r="BB78" s="65"/>
      <c r="BC78" s="65"/>
      <c r="BD78" s="65"/>
      <c r="BE78" s="65"/>
      <c r="BF78" s="65"/>
      <c r="BG78" s="65"/>
      <c r="BH78" s="65"/>
      <c r="BI78" s="65"/>
      <c r="BJ78" s="65"/>
      <c r="BK78" s="65">
        <v>0</v>
      </c>
      <c r="BL78" s="65">
        <v>0</v>
      </c>
      <c r="BM78" s="65">
        <v>0</v>
      </c>
      <c r="BN78" s="65">
        <f t="shared" si="284"/>
        <v>0</v>
      </c>
      <c r="BO78" s="67">
        <f t="shared" si="285"/>
        <v>0</v>
      </c>
      <c r="BP78" s="65">
        <f t="shared" si="286"/>
        <v>0</v>
      </c>
      <c r="BQ78" s="65">
        <f t="shared" si="287"/>
        <v>0</v>
      </c>
      <c r="BR78" s="65">
        <f t="shared" si="288"/>
        <v>0</v>
      </c>
      <c r="BS78" s="65">
        <f t="shared" si="289"/>
        <v>0</v>
      </c>
      <c r="BT78" s="65">
        <f t="shared" si="290"/>
        <v>317.59000000000003</v>
      </c>
      <c r="BU78" s="65">
        <f t="shared" si="291"/>
        <v>0</v>
      </c>
      <c r="BV78" s="65">
        <f t="shared" si="292"/>
        <v>0</v>
      </c>
      <c r="BW78" s="65">
        <f t="shared" si="293"/>
        <v>317.59000000000003</v>
      </c>
      <c r="BX78" s="6"/>
      <c r="BY78" s="6"/>
      <c r="BZ78" s="6"/>
      <c r="CA78" s="6"/>
      <c r="CB78" s="6"/>
      <c r="CC78" s="6"/>
      <c r="CD78" s="6"/>
      <c r="CE78" s="6"/>
      <c r="CF78" s="6"/>
      <c r="CG78" s="6"/>
    </row>
    <row r="79" spans="1:85" ht="15.75" customHeight="1">
      <c r="A79" s="121"/>
      <c r="B79" s="121"/>
      <c r="C79" s="176" t="s">
        <v>206</v>
      </c>
      <c r="D79" s="70" t="s">
        <v>207</v>
      </c>
      <c r="E79" s="57">
        <v>0</v>
      </c>
      <c r="F79" s="57">
        <v>0</v>
      </c>
      <c r="G79" s="58">
        <f t="shared" si="277"/>
        <v>0</v>
      </c>
      <c r="H79" s="57">
        <v>0</v>
      </c>
      <c r="I79" s="59">
        <f t="shared" si="267"/>
        <v>0</v>
      </c>
      <c r="J79" s="59">
        <f t="shared" si="268"/>
        <v>0</v>
      </c>
      <c r="K79" s="74">
        <v>0</v>
      </c>
      <c r="L79" s="74">
        <v>0</v>
      </c>
      <c r="M79" s="74">
        <v>0</v>
      </c>
      <c r="N79" s="74">
        <v>0</v>
      </c>
      <c r="O79" s="61">
        <f t="shared" ref="O79:Q79" si="348">AA79+AD79+AG79+AJ79+AM79+AP79+AS79+AV79+AY79+BB79+BE79+BH79</f>
        <v>0</v>
      </c>
      <c r="P79" s="61">
        <f t="shared" si="348"/>
        <v>0</v>
      </c>
      <c r="Q79" s="61">
        <f t="shared" si="348"/>
        <v>0</v>
      </c>
      <c r="R79" s="61">
        <f t="shared" ref="R79:T79" si="349">IF(BK79=0,SUM(AA79+AD79+AG79+AJ79+AM79+AP79+AS79+AV79+AY79+BB79+BE79+BH79),BK79)</f>
        <v>0</v>
      </c>
      <c r="S79" s="61">
        <f t="shared" si="349"/>
        <v>0</v>
      </c>
      <c r="T79" s="61">
        <f t="shared" si="349"/>
        <v>0</v>
      </c>
      <c r="U79" s="63">
        <f t="shared" si="280"/>
        <v>0</v>
      </c>
      <c r="V79" s="63">
        <f t="shared" si="281"/>
        <v>0</v>
      </c>
      <c r="W79" s="63">
        <f t="shared" si="282"/>
        <v>0</v>
      </c>
      <c r="X79" s="64">
        <f t="shared" ref="X79:Y79" si="350">IF(O79&gt;0,O79/K79,0)</f>
        <v>0</v>
      </c>
      <c r="Y79" s="64">
        <f t="shared" si="350"/>
        <v>0</v>
      </c>
      <c r="Z79" s="64">
        <f t="shared" si="272"/>
        <v>0</v>
      </c>
      <c r="AA79" s="65"/>
      <c r="AB79" s="65"/>
      <c r="AC79" s="65"/>
      <c r="AD79" s="65"/>
      <c r="AE79" s="66"/>
      <c r="AF79" s="66"/>
      <c r="AG79" s="66"/>
      <c r="AH79" s="66"/>
      <c r="AI79" s="65"/>
      <c r="AJ79" s="65"/>
      <c r="AK79" s="65"/>
      <c r="AL79" s="65"/>
      <c r="AM79" s="65"/>
      <c r="AN79" s="65"/>
      <c r="AO79" s="65"/>
      <c r="AP79" s="65"/>
      <c r="AQ79" s="65"/>
      <c r="AR79" s="65"/>
      <c r="AS79" s="65"/>
      <c r="AT79" s="65"/>
      <c r="AU79" s="65"/>
      <c r="AV79" s="65"/>
      <c r="AW79" s="65"/>
      <c r="AX79" s="65"/>
      <c r="AY79" s="65"/>
      <c r="AZ79" s="65"/>
      <c r="BA79" s="65"/>
      <c r="BB79" s="65"/>
      <c r="BC79" s="65"/>
      <c r="BD79" s="65"/>
      <c r="BE79" s="65"/>
      <c r="BF79" s="65"/>
      <c r="BG79" s="65"/>
      <c r="BH79" s="65"/>
      <c r="BI79" s="65"/>
      <c r="BJ79" s="65"/>
      <c r="BK79" s="65">
        <v>0</v>
      </c>
      <c r="BL79" s="65">
        <v>0</v>
      </c>
      <c r="BM79" s="65">
        <v>0</v>
      </c>
      <c r="BN79" s="65">
        <f t="shared" si="284"/>
        <v>0</v>
      </c>
      <c r="BO79" s="67">
        <f t="shared" si="285"/>
        <v>0</v>
      </c>
      <c r="BP79" s="65">
        <f t="shared" si="286"/>
        <v>0</v>
      </c>
      <c r="BQ79" s="65">
        <f t="shared" si="287"/>
        <v>0</v>
      </c>
      <c r="BR79" s="65">
        <f t="shared" si="288"/>
        <v>0</v>
      </c>
      <c r="BS79" s="65">
        <f t="shared" si="289"/>
        <v>0</v>
      </c>
      <c r="BT79" s="65">
        <f t="shared" si="290"/>
        <v>0</v>
      </c>
      <c r="BU79" s="65">
        <f t="shared" si="291"/>
        <v>0</v>
      </c>
      <c r="BV79" s="65">
        <f t="shared" si="292"/>
        <v>0</v>
      </c>
      <c r="BW79" s="65">
        <f t="shared" si="293"/>
        <v>0</v>
      </c>
      <c r="BX79" s="6"/>
      <c r="BY79" s="6"/>
      <c r="BZ79" s="6"/>
      <c r="CA79" s="6"/>
      <c r="CB79" s="6"/>
      <c r="CC79" s="6"/>
      <c r="CD79" s="6"/>
      <c r="CE79" s="6"/>
      <c r="CF79" s="6"/>
      <c r="CG79" s="6"/>
    </row>
    <row r="80" spans="1:85" ht="15.75" customHeight="1">
      <c r="A80" s="54"/>
      <c r="B80" s="54"/>
      <c r="C80" s="176" t="s">
        <v>208</v>
      </c>
      <c r="D80" s="70" t="s">
        <v>209</v>
      </c>
      <c r="E80" s="56">
        <v>12000</v>
      </c>
      <c r="F80" s="57">
        <v>0</v>
      </c>
      <c r="G80" s="58">
        <f t="shared" si="277"/>
        <v>12000</v>
      </c>
      <c r="H80" s="57">
        <v>0</v>
      </c>
      <c r="I80" s="59">
        <f t="shared" si="267"/>
        <v>0</v>
      </c>
      <c r="J80" s="59">
        <f t="shared" si="268"/>
        <v>0</v>
      </c>
      <c r="K80" s="74">
        <v>0</v>
      </c>
      <c r="L80" s="74">
        <v>0</v>
      </c>
      <c r="M80" s="74">
        <v>0</v>
      </c>
      <c r="N80" s="74">
        <v>0</v>
      </c>
      <c r="O80" s="61">
        <f t="shared" ref="O80:Q80" si="351">AA80+AD80+AG80+AJ80+AM80+AP80+AS80+AV80+AY80+BB80+BE80+BH80</f>
        <v>0</v>
      </c>
      <c r="P80" s="61">
        <f t="shared" si="351"/>
        <v>0</v>
      </c>
      <c r="Q80" s="61">
        <f t="shared" si="351"/>
        <v>0</v>
      </c>
      <c r="R80" s="61">
        <f t="shared" ref="R80:T80" si="352">IF(BK80=0,SUM(AA80+AD80+AG80+AJ80+AM80+AP80+AS80+AV80+AY80+BB80+BE80+BH80),BK80)</f>
        <v>0</v>
      </c>
      <c r="S80" s="61">
        <f t="shared" si="352"/>
        <v>0</v>
      </c>
      <c r="T80" s="61">
        <f t="shared" si="352"/>
        <v>0</v>
      </c>
      <c r="U80" s="63">
        <f t="shared" si="280"/>
        <v>0</v>
      </c>
      <c r="V80" s="63">
        <f t="shared" si="281"/>
        <v>0</v>
      </c>
      <c r="W80" s="63">
        <f t="shared" si="282"/>
        <v>0</v>
      </c>
      <c r="X80" s="64">
        <f t="shared" ref="X80:Y80" si="353">IF(O80&gt;0,O80/K80,0)</f>
        <v>0</v>
      </c>
      <c r="Y80" s="64">
        <f t="shared" si="353"/>
        <v>0</v>
      </c>
      <c r="Z80" s="64">
        <f t="shared" si="272"/>
        <v>0</v>
      </c>
      <c r="AA80" s="65"/>
      <c r="AB80" s="65"/>
      <c r="AC80" s="65"/>
      <c r="AD80" s="65"/>
      <c r="AE80" s="66"/>
      <c r="AF80" s="66"/>
      <c r="AG80" s="66"/>
      <c r="AH80" s="66"/>
      <c r="AI80" s="65"/>
      <c r="AJ80" s="65"/>
      <c r="AK80" s="65"/>
      <c r="AL80" s="65"/>
      <c r="AM80" s="65"/>
      <c r="AN80" s="65"/>
      <c r="AO80" s="65"/>
      <c r="AP80" s="65"/>
      <c r="AQ80" s="65"/>
      <c r="AR80" s="65"/>
      <c r="AS80" s="65"/>
      <c r="AT80" s="65"/>
      <c r="AU80" s="65"/>
      <c r="AV80" s="65"/>
      <c r="AW80" s="65"/>
      <c r="AX80" s="65"/>
      <c r="AY80" s="65"/>
      <c r="AZ80" s="65"/>
      <c r="BA80" s="65"/>
      <c r="BB80" s="65"/>
      <c r="BC80" s="65"/>
      <c r="BD80" s="65"/>
      <c r="BE80" s="65"/>
      <c r="BF80" s="65"/>
      <c r="BG80" s="65"/>
      <c r="BH80" s="65"/>
      <c r="BI80" s="65"/>
      <c r="BJ80" s="65"/>
      <c r="BK80" s="65">
        <v>0</v>
      </c>
      <c r="BL80" s="65">
        <v>0</v>
      </c>
      <c r="BM80" s="65">
        <v>0</v>
      </c>
      <c r="BN80" s="65">
        <f t="shared" si="284"/>
        <v>0</v>
      </c>
      <c r="BO80" s="67">
        <f t="shared" si="285"/>
        <v>0</v>
      </c>
      <c r="BP80" s="65">
        <f t="shared" si="286"/>
        <v>0</v>
      </c>
      <c r="BQ80" s="65">
        <f t="shared" si="287"/>
        <v>0</v>
      </c>
      <c r="BR80" s="65">
        <f t="shared" si="288"/>
        <v>0</v>
      </c>
      <c r="BS80" s="65">
        <f t="shared" si="289"/>
        <v>0</v>
      </c>
      <c r="BT80" s="65">
        <f t="shared" si="290"/>
        <v>0</v>
      </c>
      <c r="BU80" s="65">
        <f t="shared" si="291"/>
        <v>0</v>
      </c>
      <c r="BV80" s="65">
        <f t="shared" si="292"/>
        <v>0</v>
      </c>
      <c r="BW80" s="65">
        <f t="shared" si="293"/>
        <v>0</v>
      </c>
      <c r="BX80" s="6"/>
      <c r="BY80" s="6"/>
      <c r="BZ80" s="6"/>
      <c r="CA80" s="6"/>
      <c r="CB80" s="6"/>
      <c r="CC80" s="6"/>
      <c r="CD80" s="6"/>
      <c r="CE80" s="6"/>
      <c r="CF80" s="6"/>
      <c r="CG80" s="6"/>
    </row>
    <row r="81" spans="1:85" ht="15.75" customHeight="1">
      <c r="A81" s="104" t="s">
        <v>210</v>
      </c>
      <c r="B81" s="68"/>
      <c r="C81" s="176" t="s">
        <v>211</v>
      </c>
      <c r="D81" s="70" t="s">
        <v>212</v>
      </c>
      <c r="E81" s="56">
        <v>50000</v>
      </c>
      <c r="F81" s="57">
        <v>0</v>
      </c>
      <c r="G81" s="58">
        <f t="shared" si="277"/>
        <v>50000</v>
      </c>
      <c r="H81" s="57">
        <v>0</v>
      </c>
      <c r="I81" s="59">
        <f t="shared" si="267"/>
        <v>3.6664200000000001E-2</v>
      </c>
      <c r="J81" s="59">
        <f t="shared" si="268"/>
        <v>3.6664200000000001E-2</v>
      </c>
      <c r="K81" s="74">
        <v>1833.21</v>
      </c>
      <c r="L81" s="74">
        <v>0</v>
      </c>
      <c r="M81" s="74">
        <v>0</v>
      </c>
      <c r="N81" s="74">
        <v>0</v>
      </c>
      <c r="O81" s="61">
        <f t="shared" ref="O81:Q81" si="354">AA81+AD81+AG81+AJ81+AM81+AP81+AS81+AV81+AY81+BB81+BE81+BH81</f>
        <v>1833.21</v>
      </c>
      <c r="P81" s="61">
        <f t="shared" si="354"/>
        <v>0</v>
      </c>
      <c r="Q81" s="61">
        <f t="shared" si="354"/>
        <v>0</v>
      </c>
      <c r="R81" s="61">
        <f t="shared" ref="R81:T81" si="355">IF(BK81=0,SUM(AA81+AD81+AG81+AJ81+AM81+AP81+AS81+AV81+AY81+BB81+BE81+BH81),BK81)</f>
        <v>1833.21</v>
      </c>
      <c r="S81" s="61">
        <f t="shared" si="355"/>
        <v>0</v>
      </c>
      <c r="T81" s="61">
        <f t="shared" si="355"/>
        <v>0</v>
      </c>
      <c r="U81" s="63">
        <f t="shared" si="280"/>
        <v>0</v>
      </c>
      <c r="V81" s="63">
        <f t="shared" si="281"/>
        <v>0</v>
      </c>
      <c r="W81" s="63">
        <f t="shared" si="282"/>
        <v>0</v>
      </c>
      <c r="X81" s="64">
        <f t="shared" ref="X81:Y81" si="356">IF(O81&gt;0,O81/K81,0)</f>
        <v>1</v>
      </c>
      <c r="Y81" s="64">
        <f t="shared" si="356"/>
        <v>0</v>
      </c>
      <c r="Z81" s="64">
        <f t="shared" si="272"/>
        <v>0</v>
      </c>
      <c r="AA81" s="65"/>
      <c r="AB81" s="65"/>
      <c r="AC81" s="65"/>
      <c r="AD81" s="65"/>
      <c r="AE81" s="66"/>
      <c r="AF81" s="66"/>
      <c r="AG81" s="66"/>
      <c r="AH81" s="66"/>
      <c r="AI81" s="65"/>
      <c r="AJ81" s="65"/>
      <c r="AK81" s="65"/>
      <c r="AL81" s="65"/>
      <c r="AM81" s="65"/>
      <c r="AN81" s="65"/>
      <c r="AO81" s="65"/>
      <c r="AP81" s="100">
        <v>1833.21</v>
      </c>
      <c r="AQ81" s="65"/>
      <c r="AR81" s="65"/>
      <c r="AS81" s="65"/>
      <c r="AT81" s="65"/>
      <c r="AU81" s="65"/>
      <c r="AV81" s="65"/>
      <c r="AW81" s="65"/>
      <c r="AX81" s="65"/>
      <c r="AY81" s="65"/>
      <c r="AZ81" s="65"/>
      <c r="BA81" s="65"/>
      <c r="BB81" s="65"/>
      <c r="BC81" s="65"/>
      <c r="BD81" s="65"/>
      <c r="BE81" s="65"/>
      <c r="BF81" s="65"/>
      <c r="BG81" s="65"/>
      <c r="BH81" s="65"/>
      <c r="BI81" s="65"/>
      <c r="BJ81" s="65"/>
      <c r="BK81" s="65">
        <v>0</v>
      </c>
      <c r="BL81" s="65">
        <v>0</v>
      </c>
      <c r="BM81" s="65">
        <v>0</v>
      </c>
      <c r="BN81" s="65">
        <f t="shared" si="284"/>
        <v>1833.21</v>
      </c>
      <c r="BO81" s="67">
        <f t="shared" si="285"/>
        <v>0</v>
      </c>
      <c r="BP81" s="65">
        <f t="shared" si="286"/>
        <v>1833.21</v>
      </c>
      <c r="BQ81" s="65">
        <f t="shared" si="287"/>
        <v>0</v>
      </c>
      <c r="BR81" s="65">
        <f t="shared" si="288"/>
        <v>0</v>
      </c>
      <c r="BS81" s="65">
        <f t="shared" si="289"/>
        <v>0</v>
      </c>
      <c r="BT81" s="65">
        <f t="shared" si="290"/>
        <v>0</v>
      </c>
      <c r="BU81" s="65">
        <f t="shared" si="291"/>
        <v>1833.21</v>
      </c>
      <c r="BV81" s="65">
        <f t="shared" si="292"/>
        <v>0</v>
      </c>
      <c r="BW81" s="65">
        <f t="shared" si="293"/>
        <v>1833.21</v>
      </c>
      <c r="BX81" s="6"/>
      <c r="BY81" s="6"/>
      <c r="BZ81" s="6"/>
      <c r="CA81" s="6"/>
      <c r="CB81" s="6"/>
      <c r="CC81" s="6"/>
      <c r="CD81" s="6"/>
      <c r="CE81" s="6"/>
      <c r="CF81" s="6"/>
      <c r="CG81" s="6"/>
    </row>
    <row r="82" spans="1:85" ht="15.75" customHeight="1">
      <c r="A82" s="185" t="s">
        <v>213</v>
      </c>
      <c r="B82" s="68" t="s">
        <v>214</v>
      </c>
      <c r="C82" s="68" t="s">
        <v>215</v>
      </c>
      <c r="D82" s="70" t="s">
        <v>216</v>
      </c>
      <c r="E82" s="56">
        <v>15000</v>
      </c>
      <c r="F82" s="57">
        <v>0</v>
      </c>
      <c r="G82" s="58">
        <f t="shared" si="277"/>
        <v>15000</v>
      </c>
      <c r="H82" s="57">
        <v>0</v>
      </c>
      <c r="I82" s="59">
        <f t="shared" si="267"/>
        <v>0.76666666666666672</v>
      </c>
      <c r="J82" s="59">
        <f t="shared" si="268"/>
        <v>0</v>
      </c>
      <c r="K82" s="74">
        <f>11500</f>
        <v>11500</v>
      </c>
      <c r="L82" s="100">
        <v>6124.3</v>
      </c>
      <c r="M82" s="74">
        <v>0</v>
      </c>
      <c r="N82" s="74">
        <v>0</v>
      </c>
      <c r="O82" s="61">
        <f t="shared" ref="O82:Q82" si="357">AA82+AD82+AG82+AJ82+AM82+AP82+AS82+AV82+AY82+BB82+BE82+BH82</f>
        <v>0</v>
      </c>
      <c r="P82" s="61">
        <f t="shared" si="357"/>
        <v>5663.2699999999995</v>
      </c>
      <c r="Q82" s="61">
        <f t="shared" si="357"/>
        <v>0</v>
      </c>
      <c r="R82" s="61">
        <f t="shared" ref="R82:T82" si="358">IF(BK82=0,SUM(AA82+AD82+AG82+AJ82+AM82+AP82+AS82+AV82+AY82+BB82+BE82+BH82),BK82)</f>
        <v>0</v>
      </c>
      <c r="S82" s="61">
        <f t="shared" si="358"/>
        <v>5663.2699999999995</v>
      </c>
      <c r="T82" s="61">
        <f t="shared" si="358"/>
        <v>0</v>
      </c>
      <c r="U82" s="62">
        <f t="shared" si="280"/>
        <v>11500</v>
      </c>
      <c r="V82" s="170">
        <f t="shared" si="281"/>
        <v>461.03000000000065</v>
      </c>
      <c r="W82" s="63">
        <f t="shared" si="282"/>
        <v>0</v>
      </c>
      <c r="X82" s="64">
        <f t="shared" ref="X82:Y82" si="359">IF(O82&gt;0,O82/K82,0)</f>
        <v>0</v>
      </c>
      <c r="Y82" s="64">
        <f t="shared" si="359"/>
        <v>0.92472119262609598</v>
      </c>
      <c r="Z82" s="64">
        <f t="shared" si="272"/>
        <v>0</v>
      </c>
      <c r="AA82" s="65"/>
      <c r="AB82" s="65"/>
      <c r="AC82" s="65"/>
      <c r="AD82" s="65"/>
      <c r="AE82" s="66">
        <f>4469.32+1193.95</f>
        <v>5663.2699999999995</v>
      </c>
      <c r="AF82" s="66"/>
      <c r="AG82" s="66"/>
      <c r="AH82" s="66"/>
      <c r="AI82" s="65"/>
      <c r="AJ82" s="65"/>
      <c r="AK82" s="65"/>
      <c r="AL82" s="65"/>
      <c r="AM82" s="65"/>
      <c r="AN82" s="65"/>
      <c r="AO82" s="65"/>
      <c r="AP82" s="65"/>
      <c r="AQ82" s="65"/>
      <c r="AR82" s="65"/>
      <c r="AS82" s="65"/>
      <c r="AT82" s="65"/>
      <c r="AU82" s="65"/>
      <c r="AV82" s="65"/>
      <c r="AW82" s="65"/>
      <c r="AX82" s="65"/>
      <c r="AY82" s="65"/>
      <c r="AZ82" s="65"/>
      <c r="BA82" s="65"/>
      <c r="BB82" s="65"/>
      <c r="BC82" s="65"/>
      <c r="BD82" s="65"/>
      <c r="BE82" s="65"/>
      <c r="BF82" s="65"/>
      <c r="BG82" s="65"/>
      <c r="BH82" s="65"/>
      <c r="BI82" s="65"/>
      <c r="BJ82" s="65"/>
      <c r="BK82" s="65">
        <v>0</v>
      </c>
      <c r="BL82" s="65">
        <v>0</v>
      </c>
      <c r="BM82" s="65">
        <v>0</v>
      </c>
      <c r="BN82" s="65">
        <f t="shared" si="284"/>
        <v>0</v>
      </c>
      <c r="BO82" s="67">
        <f t="shared" si="285"/>
        <v>0</v>
      </c>
      <c r="BP82" s="65">
        <f t="shared" si="286"/>
        <v>0</v>
      </c>
      <c r="BQ82" s="65">
        <f t="shared" si="287"/>
        <v>11500</v>
      </c>
      <c r="BR82" s="65">
        <f t="shared" si="288"/>
        <v>0</v>
      </c>
      <c r="BS82" s="65">
        <f t="shared" si="289"/>
        <v>11500</v>
      </c>
      <c r="BT82" s="65">
        <f t="shared" si="290"/>
        <v>461.03000000000065</v>
      </c>
      <c r="BU82" s="65">
        <f t="shared" si="291"/>
        <v>0</v>
      </c>
      <c r="BV82" s="65">
        <f t="shared" si="292"/>
        <v>11500</v>
      </c>
      <c r="BW82" s="65">
        <f t="shared" si="293"/>
        <v>11961.03</v>
      </c>
      <c r="BX82" s="6"/>
      <c r="BY82" s="6"/>
      <c r="BZ82" s="6"/>
      <c r="CA82" s="6"/>
      <c r="CB82" s="6"/>
      <c r="CC82" s="6"/>
      <c r="CD82" s="6"/>
      <c r="CE82" s="6"/>
      <c r="CF82" s="6"/>
      <c r="CG82" s="6"/>
    </row>
    <row r="83" spans="1:85" ht="15" customHeight="1">
      <c r="A83" s="71"/>
      <c r="B83" s="71"/>
      <c r="C83" s="68" t="s">
        <v>215</v>
      </c>
      <c r="D83" s="70" t="s">
        <v>217</v>
      </c>
      <c r="E83" s="57">
        <v>0</v>
      </c>
      <c r="F83" s="57">
        <v>0</v>
      </c>
      <c r="G83" s="58">
        <f t="shared" si="277"/>
        <v>0</v>
      </c>
      <c r="H83" s="57">
        <v>0</v>
      </c>
      <c r="I83" s="59">
        <f t="shared" si="267"/>
        <v>0</v>
      </c>
      <c r="J83" s="59">
        <f t="shared" si="268"/>
        <v>0</v>
      </c>
      <c r="K83" s="74">
        <v>0</v>
      </c>
      <c r="L83" s="74">
        <v>0</v>
      </c>
      <c r="M83" s="74">
        <v>0</v>
      </c>
      <c r="N83" s="74">
        <v>0</v>
      </c>
      <c r="O83" s="61">
        <f t="shared" ref="O83:Q83" si="360">AA83+AD83+AG83+AJ83+AM83+AP83+AS83+AV83+AY83+BB83+BE83+BH83</f>
        <v>0</v>
      </c>
      <c r="P83" s="61">
        <f t="shared" si="360"/>
        <v>0</v>
      </c>
      <c r="Q83" s="61">
        <f t="shared" si="360"/>
        <v>0</v>
      </c>
      <c r="R83" s="61">
        <f t="shared" ref="R83:T83" si="361">IF(BK83=0,SUM(AA83+AD83+AG83+AJ83+AM83+AP83+AS83+AV83+AY83+BB83+BE83+BH83),BK83)</f>
        <v>0</v>
      </c>
      <c r="S83" s="61">
        <f t="shared" si="361"/>
        <v>0</v>
      </c>
      <c r="T83" s="61">
        <f t="shared" si="361"/>
        <v>0</v>
      </c>
      <c r="U83" s="63">
        <f t="shared" si="280"/>
        <v>0</v>
      </c>
      <c r="V83" s="63">
        <f t="shared" si="281"/>
        <v>0</v>
      </c>
      <c r="W83" s="63">
        <f t="shared" si="282"/>
        <v>0</v>
      </c>
      <c r="X83" s="64">
        <f t="shared" ref="X83:Y83" si="362">IF(O83&gt;0,O83/K83,0)</f>
        <v>0</v>
      </c>
      <c r="Y83" s="64">
        <f t="shared" si="362"/>
        <v>0</v>
      </c>
      <c r="Z83" s="64">
        <f t="shared" si="272"/>
        <v>0</v>
      </c>
      <c r="AA83" s="65"/>
      <c r="AB83" s="65"/>
      <c r="AC83" s="65"/>
      <c r="AD83" s="65"/>
      <c r="AE83" s="66"/>
      <c r="AF83" s="66"/>
      <c r="AG83" s="66"/>
      <c r="AH83" s="66"/>
      <c r="AI83" s="65"/>
      <c r="AJ83" s="65"/>
      <c r="AK83" s="65"/>
      <c r="AL83" s="65"/>
      <c r="AM83" s="65"/>
      <c r="AN83" s="65"/>
      <c r="AO83" s="65"/>
      <c r="AP83" s="65"/>
      <c r="AQ83" s="65"/>
      <c r="AR83" s="65"/>
      <c r="AS83" s="65"/>
      <c r="AT83" s="65"/>
      <c r="AU83" s="65"/>
      <c r="AV83" s="65"/>
      <c r="AW83" s="65"/>
      <c r="AX83" s="65"/>
      <c r="AY83" s="65"/>
      <c r="AZ83" s="65"/>
      <c r="BA83" s="65"/>
      <c r="BB83" s="65"/>
      <c r="BC83" s="65"/>
      <c r="BD83" s="65"/>
      <c r="BE83" s="65"/>
      <c r="BF83" s="65"/>
      <c r="BG83" s="65"/>
      <c r="BH83" s="65"/>
      <c r="BI83" s="65"/>
      <c r="BJ83" s="65"/>
      <c r="BK83" s="65">
        <v>0</v>
      </c>
      <c r="BL83" s="65">
        <v>0</v>
      </c>
      <c r="BM83" s="65">
        <v>0</v>
      </c>
      <c r="BN83" s="65">
        <f t="shared" si="284"/>
        <v>0</v>
      </c>
      <c r="BO83" s="67">
        <f t="shared" si="285"/>
        <v>0</v>
      </c>
      <c r="BP83" s="65">
        <f t="shared" si="286"/>
        <v>0</v>
      </c>
      <c r="BQ83" s="65">
        <f t="shared" si="287"/>
        <v>0</v>
      </c>
      <c r="BR83" s="65">
        <f t="shared" si="288"/>
        <v>0</v>
      </c>
      <c r="BS83" s="65">
        <f t="shared" si="289"/>
        <v>0</v>
      </c>
      <c r="BT83" s="65">
        <f t="shared" si="290"/>
        <v>0</v>
      </c>
      <c r="BU83" s="65">
        <f t="shared" si="291"/>
        <v>0</v>
      </c>
      <c r="BV83" s="65">
        <f t="shared" si="292"/>
        <v>0</v>
      </c>
      <c r="BW83" s="65">
        <f t="shared" si="293"/>
        <v>0</v>
      </c>
      <c r="BX83" s="6"/>
      <c r="BY83" s="6"/>
      <c r="BZ83" s="6"/>
      <c r="CA83" s="6"/>
      <c r="CB83" s="6"/>
      <c r="CC83" s="6"/>
      <c r="CD83" s="6"/>
      <c r="CE83" s="6"/>
      <c r="CF83" s="6"/>
      <c r="CG83" s="6"/>
    </row>
    <row r="84" spans="1:85" ht="15.75" customHeight="1">
      <c r="A84" s="68"/>
      <c r="B84" s="103"/>
      <c r="C84" s="68" t="s">
        <v>218</v>
      </c>
      <c r="D84" s="70" t="s">
        <v>219</v>
      </c>
      <c r="E84" s="56">
        <v>10000</v>
      </c>
      <c r="F84" s="57">
        <v>0</v>
      </c>
      <c r="G84" s="58">
        <f t="shared" si="277"/>
        <v>10000</v>
      </c>
      <c r="H84" s="57">
        <v>0</v>
      </c>
      <c r="I84" s="59">
        <f t="shared" si="267"/>
        <v>0</v>
      </c>
      <c r="J84" s="59">
        <f t="shared" si="268"/>
        <v>0</v>
      </c>
      <c r="K84" s="74">
        <v>0</v>
      </c>
      <c r="L84" s="74">
        <v>0</v>
      </c>
      <c r="M84" s="74">
        <v>0</v>
      </c>
      <c r="N84" s="74">
        <v>0</v>
      </c>
      <c r="O84" s="61">
        <f t="shared" ref="O84:Q84" si="363">AA84+AD84+AG84+AJ84+AM84+AP84+AS84+AV84+AY84+BB84+BE84+BH84</f>
        <v>0</v>
      </c>
      <c r="P84" s="61">
        <f t="shared" si="363"/>
        <v>0</v>
      </c>
      <c r="Q84" s="61">
        <f t="shared" si="363"/>
        <v>0</v>
      </c>
      <c r="R84" s="61">
        <f t="shared" ref="R84:T84" si="364">IF(BK84=0,SUM(AA84+AD84+AG84+AJ84+AM84+AP84+AS84+AV84+AY84+BB84+BE84+BH84),BK84)</f>
        <v>0</v>
      </c>
      <c r="S84" s="61">
        <f t="shared" si="364"/>
        <v>0</v>
      </c>
      <c r="T84" s="61">
        <f t="shared" si="364"/>
        <v>0</v>
      </c>
      <c r="U84" s="63">
        <f t="shared" si="280"/>
        <v>0</v>
      </c>
      <c r="V84" s="63">
        <f t="shared" si="281"/>
        <v>0</v>
      </c>
      <c r="W84" s="63">
        <f t="shared" si="282"/>
        <v>0</v>
      </c>
      <c r="X84" s="64">
        <f t="shared" ref="X84:Y84" si="365">IF(O84&gt;0,O84/K84,0)</f>
        <v>0</v>
      </c>
      <c r="Y84" s="64">
        <f t="shared" si="365"/>
        <v>0</v>
      </c>
      <c r="Z84" s="64">
        <f t="shared" si="272"/>
        <v>0</v>
      </c>
      <c r="AA84" s="65"/>
      <c r="AB84" s="65"/>
      <c r="AC84" s="65"/>
      <c r="AD84" s="65"/>
      <c r="AE84" s="66"/>
      <c r="AF84" s="66"/>
      <c r="AG84" s="66"/>
      <c r="AH84" s="66"/>
      <c r="AI84" s="65"/>
      <c r="AJ84" s="65"/>
      <c r="AK84" s="65"/>
      <c r="AL84" s="65"/>
      <c r="AM84" s="65"/>
      <c r="AN84" s="65"/>
      <c r="AO84" s="65"/>
      <c r="AP84" s="65"/>
      <c r="AQ84" s="65"/>
      <c r="AR84" s="65"/>
      <c r="AS84" s="65"/>
      <c r="AT84" s="65"/>
      <c r="AU84" s="65"/>
      <c r="AV84" s="65"/>
      <c r="AW84" s="65"/>
      <c r="AX84" s="65"/>
      <c r="AY84" s="65"/>
      <c r="AZ84" s="65"/>
      <c r="BA84" s="65"/>
      <c r="BB84" s="65"/>
      <c r="BC84" s="65"/>
      <c r="BD84" s="65"/>
      <c r="BE84" s="65"/>
      <c r="BF84" s="65"/>
      <c r="BG84" s="65"/>
      <c r="BH84" s="65"/>
      <c r="BI84" s="65"/>
      <c r="BJ84" s="65"/>
      <c r="BK84" s="65">
        <v>0</v>
      </c>
      <c r="BL84" s="65">
        <v>0</v>
      </c>
      <c r="BM84" s="65">
        <v>0</v>
      </c>
      <c r="BN84" s="65">
        <f t="shared" si="284"/>
        <v>0</v>
      </c>
      <c r="BO84" s="67">
        <f t="shared" si="285"/>
        <v>0</v>
      </c>
      <c r="BP84" s="65">
        <f t="shared" si="286"/>
        <v>0</v>
      </c>
      <c r="BQ84" s="65">
        <f t="shared" si="287"/>
        <v>0</v>
      </c>
      <c r="BR84" s="65">
        <f t="shared" si="288"/>
        <v>0</v>
      </c>
      <c r="BS84" s="65">
        <f t="shared" si="289"/>
        <v>0</v>
      </c>
      <c r="BT84" s="65">
        <f t="shared" si="290"/>
        <v>0</v>
      </c>
      <c r="BU84" s="65">
        <f t="shared" si="291"/>
        <v>0</v>
      </c>
      <c r="BV84" s="65">
        <f t="shared" si="292"/>
        <v>0</v>
      </c>
      <c r="BW84" s="65">
        <f t="shared" si="293"/>
        <v>0</v>
      </c>
      <c r="BX84" s="6"/>
      <c r="BY84" s="6"/>
      <c r="BZ84" s="6"/>
      <c r="CA84" s="6"/>
      <c r="CB84" s="6"/>
      <c r="CC84" s="6"/>
      <c r="CD84" s="6"/>
      <c r="CE84" s="6"/>
      <c r="CF84" s="6"/>
      <c r="CG84" s="6"/>
    </row>
    <row r="85" spans="1:85" ht="15" customHeight="1">
      <c r="A85" s="71"/>
      <c r="B85" s="186" t="s">
        <v>220</v>
      </c>
      <c r="C85" s="71" t="s">
        <v>221</v>
      </c>
      <c r="D85" s="73" t="s">
        <v>222</v>
      </c>
      <c r="E85" s="56">
        <v>6000</v>
      </c>
      <c r="F85" s="57">
        <v>0</v>
      </c>
      <c r="G85" s="58">
        <f t="shared" si="277"/>
        <v>6000</v>
      </c>
      <c r="H85" s="57">
        <v>0</v>
      </c>
      <c r="I85" s="59">
        <f t="shared" si="267"/>
        <v>0</v>
      </c>
      <c r="J85" s="59">
        <f t="shared" si="268"/>
        <v>0</v>
      </c>
      <c r="K85" s="74">
        <v>0</v>
      </c>
      <c r="L85" s="60">
        <v>2543.35</v>
      </c>
      <c r="M85" s="74">
        <v>0</v>
      </c>
      <c r="N85" s="74">
        <v>0</v>
      </c>
      <c r="O85" s="61">
        <f t="shared" ref="O85:Q85" si="366">AA85+AD85+AG85+AJ85+AM85+AP85+AS85+AV85+AY85+BB85+BE85+BH85</f>
        <v>0</v>
      </c>
      <c r="P85" s="61">
        <f t="shared" si="366"/>
        <v>455.68</v>
      </c>
      <c r="Q85" s="61">
        <f t="shared" si="366"/>
        <v>0</v>
      </c>
      <c r="R85" s="61">
        <f t="shared" ref="R85:T85" si="367">IF(BK85=0,SUM(AA85+AD85+AG85+AJ85+AM85+AP85+AS85+AV85+AY85+BB85+BE85+BH85),BK85)</f>
        <v>0</v>
      </c>
      <c r="S85" s="61">
        <f t="shared" si="367"/>
        <v>455.68</v>
      </c>
      <c r="T85" s="61">
        <f t="shared" si="367"/>
        <v>0</v>
      </c>
      <c r="U85" s="63">
        <f t="shared" si="280"/>
        <v>0</v>
      </c>
      <c r="V85" s="170">
        <f t="shared" si="281"/>
        <v>2087.67</v>
      </c>
      <c r="W85" s="63">
        <f t="shared" si="282"/>
        <v>0</v>
      </c>
      <c r="X85" s="64">
        <f t="shared" ref="X85:Y85" si="368">IF(O85&gt;0,O85/K85,0)</f>
        <v>0</v>
      </c>
      <c r="Y85" s="64">
        <f t="shared" si="368"/>
        <v>0.17916527414630312</v>
      </c>
      <c r="Z85" s="64">
        <f t="shared" si="272"/>
        <v>0</v>
      </c>
      <c r="AA85" s="65"/>
      <c r="AB85" s="65">
        <f>455.68</f>
        <v>455.68</v>
      </c>
      <c r="AC85" s="65"/>
      <c r="AD85" s="65"/>
      <c r="AE85" s="66"/>
      <c r="AF85" s="66"/>
      <c r="AG85" s="66"/>
      <c r="AH85" s="66"/>
      <c r="AI85" s="65"/>
      <c r="AJ85" s="65"/>
      <c r="AK85" s="65"/>
      <c r="AL85" s="65"/>
      <c r="AM85" s="65"/>
      <c r="AN85" s="65"/>
      <c r="AO85" s="65"/>
      <c r="AP85" s="65"/>
      <c r="AQ85" s="65"/>
      <c r="AR85" s="65"/>
      <c r="AS85" s="65"/>
      <c r="AT85" s="65"/>
      <c r="AU85" s="65"/>
      <c r="AV85" s="65"/>
      <c r="AW85" s="65"/>
      <c r="AX85" s="65"/>
      <c r="AY85" s="65"/>
      <c r="AZ85" s="65"/>
      <c r="BA85" s="65"/>
      <c r="BB85" s="65"/>
      <c r="BC85" s="65"/>
      <c r="BD85" s="65"/>
      <c r="BE85" s="65"/>
      <c r="BF85" s="65"/>
      <c r="BG85" s="65"/>
      <c r="BH85" s="65"/>
      <c r="BI85" s="65"/>
      <c r="BJ85" s="65"/>
      <c r="BK85" s="65">
        <v>0</v>
      </c>
      <c r="BL85" s="65">
        <v>0</v>
      </c>
      <c r="BM85" s="65">
        <v>0</v>
      </c>
      <c r="BN85" s="65">
        <f t="shared" si="284"/>
        <v>0</v>
      </c>
      <c r="BO85" s="67">
        <f t="shared" si="285"/>
        <v>0</v>
      </c>
      <c r="BP85" s="65">
        <f t="shared" si="286"/>
        <v>0</v>
      </c>
      <c r="BQ85" s="65">
        <f t="shared" si="287"/>
        <v>0</v>
      </c>
      <c r="BR85" s="65">
        <f t="shared" si="288"/>
        <v>0</v>
      </c>
      <c r="BS85" s="65">
        <f t="shared" si="289"/>
        <v>0</v>
      </c>
      <c r="BT85" s="65">
        <f t="shared" si="290"/>
        <v>2087.67</v>
      </c>
      <c r="BU85" s="65">
        <f t="shared" si="291"/>
        <v>0</v>
      </c>
      <c r="BV85" s="65">
        <f t="shared" si="292"/>
        <v>0</v>
      </c>
      <c r="BW85" s="65">
        <f t="shared" si="293"/>
        <v>2087.67</v>
      </c>
      <c r="BX85" s="6"/>
      <c r="BY85" s="6"/>
      <c r="BZ85" s="6"/>
      <c r="CA85" s="6"/>
      <c r="CB85" s="6"/>
      <c r="CC85" s="6"/>
      <c r="CD85" s="6"/>
      <c r="CE85" s="6"/>
      <c r="CF85" s="6"/>
      <c r="CG85" s="6"/>
    </row>
    <row r="86" spans="1:85" ht="15.75">
      <c r="A86" s="75"/>
      <c r="B86" s="76"/>
      <c r="C86" s="77"/>
      <c r="D86" s="78" t="s">
        <v>223</v>
      </c>
      <c r="E86" s="45">
        <f t="shared" ref="E86:H86" si="369">SUM(E87:E90)</f>
        <v>383000</v>
      </c>
      <c r="F86" s="46">
        <f t="shared" si="369"/>
        <v>0</v>
      </c>
      <c r="G86" s="46">
        <f t="shared" si="369"/>
        <v>383000</v>
      </c>
      <c r="H86" s="46">
        <f t="shared" si="369"/>
        <v>0</v>
      </c>
      <c r="I86" s="47">
        <f t="shared" si="267"/>
        <v>0.96891937336814649</v>
      </c>
      <c r="J86" s="47">
        <f t="shared" si="268"/>
        <v>0.31069389033942563</v>
      </c>
      <c r="K86" s="46">
        <f t="shared" ref="K86:W86" si="370">SUM(K87:K90)</f>
        <v>371096.12000000011</v>
      </c>
      <c r="L86" s="46">
        <f t="shared" si="370"/>
        <v>17697.57</v>
      </c>
      <c r="M86" s="46">
        <f t="shared" si="370"/>
        <v>0</v>
      </c>
      <c r="N86" s="46">
        <f t="shared" si="370"/>
        <v>0</v>
      </c>
      <c r="O86" s="46">
        <f t="shared" si="370"/>
        <v>118995.76000000001</v>
      </c>
      <c r="P86" s="46">
        <f t="shared" si="370"/>
        <v>17697.57</v>
      </c>
      <c r="Q86" s="46">
        <f t="shared" si="370"/>
        <v>0</v>
      </c>
      <c r="R86" s="46">
        <f t="shared" si="370"/>
        <v>118995.76000000001</v>
      </c>
      <c r="S86" s="46">
        <f t="shared" si="370"/>
        <v>17697.57</v>
      </c>
      <c r="T86" s="46">
        <f t="shared" si="370"/>
        <v>0</v>
      </c>
      <c r="U86" s="46">
        <f t="shared" si="370"/>
        <v>252100.36</v>
      </c>
      <c r="V86" s="46">
        <f t="shared" si="370"/>
        <v>0</v>
      </c>
      <c r="W86" s="46">
        <f t="shared" si="370"/>
        <v>0</v>
      </c>
      <c r="X86" s="50">
        <f t="shared" ref="X86:Y86" si="371">IF(O86&gt;0,O86/K86,0)</f>
        <v>0.32066021062144218</v>
      </c>
      <c r="Y86" s="50">
        <f t="shared" si="371"/>
        <v>1</v>
      </c>
      <c r="Z86" s="50">
        <f t="shared" si="272"/>
        <v>0</v>
      </c>
      <c r="AA86" s="46">
        <f t="shared" ref="AA86:BW86" si="372">SUM(AA87:AA90)</f>
        <v>44862.060000000005</v>
      </c>
      <c r="AB86" s="46">
        <f t="shared" si="372"/>
        <v>17697.57</v>
      </c>
      <c r="AC86" s="46">
        <f t="shared" si="372"/>
        <v>0</v>
      </c>
      <c r="AD86" s="46">
        <f t="shared" si="372"/>
        <v>34.229999999999997</v>
      </c>
      <c r="AE86" s="46">
        <f t="shared" si="372"/>
        <v>0</v>
      </c>
      <c r="AF86" s="46">
        <f t="shared" si="372"/>
        <v>0</v>
      </c>
      <c r="AG86" s="46">
        <f t="shared" si="372"/>
        <v>465.38</v>
      </c>
      <c r="AH86" s="46">
        <f t="shared" si="372"/>
        <v>0</v>
      </c>
      <c r="AI86" s="46">
        <f t="shared" si="372"/>
        <v>0</v>
      </c>
      <c r="AJ86" s="46">
        <f t="shared" si="372"/>
        <v>29755.61</v>
      </c>
      <c r="AK86" s="46">
        <f t="shared" si="372"/>
        <v>0</v>
      </c>
      <c r="AL86" s="46">
        <f t="shared" si="372"/>
        <v>0</v>
      </c>
      <c r="AM86" s="46">
        <f t="shared" si="372"/>
        <v>43878.48</v>
      </c>
      <c r="AN86" s="46">
        <f t="shared" si="372"/>
        <v>0</v>
      </c>
      <c r="AO86" s="46">
        <f t="shared" si="372"/>
        <v>0</v>
      </c>
      <c r="AP86" s="46">
        <f t="shared" si="372"/>
        <v>0</v>
      </c>
      <c r="AQ86" s="46">
        <f t="shared" si="372"/>
        <v>0</v>
      </c>
      <c r="AR86" s="46">
        <f t="shared" si="372"/>
        <v>0</v>
      </c>
      <c r="AS86" s="46">
        <f t="shared" si="372"/>
        <v>0</v>
      </c>
      <c r="AT86" s="46">
        <f t="shared" si="372"/>
        <v>0</v>
      </c>
      <c r="AU86" s="46">
        <f t="shared" si="372"/>
        <v>0</v>
      </c>
      <c r="AV86" s="46">
        <f t="shared" si="372"/>
        <v>0</v>
      </c>
      <c r="AW86" s="46">
        <f t="shared" si="372"/>
        <v>0</v>
      </c>
      <c r="AX86" s="46">
        <f t="shared" si="372"/>
        <v>0</v>
      </c>
      <c r="AY86" s="46">
        <f t="shared" si="372"/>
        <v>0</v>
      </c>
      <c r="AZ86" s="46">
        <f t="shared" si="372"/>
        <v>0</v>
      </c>
      <c r="BA86" s="46">
        <f t="shared" si="372"/>
        <v>0</v>
      </c>
      <c r="BB86" s="46">
        <f t="shared" si="372"/>
        <v>0</v>
      </c>
      <c r="BC86" s="46">
        <f t="shared" si="372"/>
        <v>0</v>
      </c>
      <c r="BD86" s="46">
        <f t="shared" si="372"/>
        <v>0</v>
      </c>
      <c r="BE86" s="46">
        <f t="shared" si="372"/>
        <v>0</v>
      </c>
      <c r="BF86" s="46">
        <f t="shared" si="372"/>
        <v>0</v>
      </c>
      <c r="BG86" s="46">
        <f t="shared" si="372"/>
        <v>0</v>
      </c>
      <c r="BH86" s="46">
        <f t="shared" si="372"/>
        <v>0</v>
      </c>
      <c r="BI86" s="46">
        <f t="shared" si="372"/>
        <v>0</v>
      </c>
      <c r="BJ86" s="46">
        <f t="shared" si="372"/>
        <v>0</v>
      </c>
      <c r="BK86" s="46">
        <f t="shared" si="372"/>
        <v>0</v>
      </c>
      <c r="BL86" s="46">
        <f t="shared" si="372"/>
        <v>0</v>
      </c>
      <c r="BM86" s="46">
        <f t="shared" si="372"/>
        <v>0</v>
      </c>
      <c r="BN86" s="46">
        <f t="shared" si="372"/>
        <v>118995.76000000001</v>
      </c>
      <c r="BO86" s="46">
        <f t="shared" si="372"/>
        <v>0</v>
      </c>
      <c r="BP86" s="46">
        <f t="shared" si="372"/>
        <v>118995.76000000001</v>
      </c>
      <c r="BQ86" s="46">
        <f t="shared" si="372"/>
        <v>252100.36</v>
      </c>
      <c r="BR86" s="46">
        <f t="shared" si="372"/>
        <v>0</v>
      </c>
      <c r="BS86" s="46">
        <f t="shared" si="372"/>
        <v>252100.36</v>
      </c>
      <c r="BT86" s="46">
        <f t="shared" si="372"/>
        <v>0</v>
      </c>
      <c r="BU86" s="46">
        <f t="shared" si="372"/>
        <v>118995.76000000001</v>
      </c>
      <c r="BV86" s="46">
        <f t="shared" si="372"/>
        <v>252100.36</v>
      </c>
      <c r="BW86" s="46">
        <f t="shared" si="372"/>
        <v>371096.12000000005</v>
      </c>
      <c r="BX86" s="51"/>
      <c r="BY86" s="51"/>
      <c r="BZ86" s="51"/>
      <c r="CA86" s="51"/>
      <c r="CB86" s="51"/>
      <c r="CC86" s="51"/>
      <c r="CD86" s="51"/>
      <c r="CE86" s="51"/>
      <c r="CF86" s="51"/>
      <c r="CG86" s="51"/>
    </row>
    <row r="87" spans="1:85" ht="15.75" customHeight="1">
      <c r="A87" s="177"/>
      <c r="B87" s="102"/>
      <c r="C87" s="183" t="s">
        <v>224</v>
      </c>
      <c r="D87" s="184" t="s">
        <v>225</v>
      </c>
      <c r="E87" s="187">
        <v>0</v>
      </c>
      <c r="F87" s="187">
        <v>0</v>
      </c>
      <c r="G87" s="58">
        <f t="shared" ref="G87:G90" si="373">E87-F87</f>
        <v>0</v>
      </c>
      <c r="H87" s="187">
        <v>0</v>
      </c>
      <c r="I87" s="59">
        <f t="shared" si="267"/>
        <v>0</v>
      </c>
      <c r="J87" s="59">
        <f t="shared" si="268"/>
        <v>0</v>
      </c>
      <c r="K87" s="74">
        <v>0</v>
      </c>
      <c r="L87" s="74">
        <v>0</v>
      </c>
      <c r="M87" s="74">
        <v>0</v>
      </c>
      <c r="N87" s="74">
        <v>0</v>
      </c>
      <c r="O87" s="61">
        <f t="shared" ref="O87:Q87" si="374">AA87+AD87+AG87+AJ87+AM87+AP87+AS87+AV87+AY87+BB87+BE87+BH87</f>
        <v>0</v>
      </c>
      <c r="P87" s="61">
        <f t="shared" si="374"/>
        <v>0</v>
      </c>
      <c r="Q87" s="61">
        <f t="shared" si="374"/>
        <v>0</v>
      </c>
      <c r="R87" s="61">
        <f t="shared" ref="R87:T87" si="375">IF(BK87=0,SUM(AA87+AD87+AG87+AJ87+AM87+AP87+AS87+AV87+AY87+BB87+BE87+BH87),BK87)</f>
        <v>0</v>
      </c>
      <c r="S87" s="61">
        <f t="shared" si="375"/>
        <v>0</v>
      </c>
      <c r="T87" s="61">
        <f t="shared" si="375"/>
        <v>0</v>
      </c>
      <c r="U87" s="63">
        <f t="shared" ref="U87:U90" si="376">K87-O87</f>
        <v>0</v>
      </c>
      <c r="V87" s="63">
        <f t="shared" ref="V87:V90" si="377">L87-M87-S87</f>
        <v>0</v>
      </c>
      <c r="W87" s="63">
        <f t="shared" ref="W87:W90" si="378">N87-Q87</f>
        <v>0</v>
      </c>
      <c r="X87" s="64">
        <f t="shared" ref="X87:Y87" si="379">IF(O87&gt;0,O87/K87,0)</f>
        <v>0</v>
      </c>
      <c r="Y87" s="64">
        <f t="shared" si="379"/>
        <v>0</v>
      </c>
      <c r="Z87" s="64">
        <f t="shared" si="272"/>
        <v>0</v>
      </c>
      <c r="AA87" s="65"/>
      <c r="AB87" s="65"/>
      <c r="AC87" s="65"/>
      <c r="AD87" s="65"/>
      <c r="AE87" s="66"/>
      <c r="AF87" s="66"/>
      <c r="AG87" s="66"/>
      <c r="AH87" s="66"/>
      <c r="AI87" s="65"/>
      <c r="AJ87" s="65"/>
      <c r="AK87" s="65"/>
      <c r="AL87" s="65"/>
      <c r="AM87" s="65"/>
      <c r="AN87" s="65"/>
      <c r="AO87" s="65"/>
      <c r="AP87" s="65"/>
      <c r="AQ87" s="65"/>
      <c r="AR87" s="65"/>
      <c r="AS87" s="65"/>
      <c r="AT87" s="65"/>
      <c r="AU87" s="65"/>
      <c r="AV87" s="65"/>
      <c r="AW87" s="65"/>
      <c r="AX87" s="65"/>
      <c r="AY87" s="65"/>
      <c r="AZ87" s="65"/>
      <c r="BA87" s="65"/>
      <c r="BB87" s="65"/>
      <c r="BC87" s="65"/>
      <c r="BD87" s="65"/>
      <c r="BE87" s="65"/>
      <c r="BF87" s="65"/>
      <c r="BG87" s="65"/>
      <c r="BH87" s="65"/>
      <c r="BI87" s="65"/>
      <c r="BJ87" s="65"/>
      <c r="BK87" s="65">
        <v>0</v>
      </c>
      <c r="BL87" s="65">
        <v>0</v>
      </c>
      <c r="BM87" s="65">
        <v>0</v>
      </c>
      <c r="BN87" s="65">
        <f t="shared" ref="BN87:BN90" si="380">IF(O87-BK87&gt;0,O87-BK87,0)</f>
        <v>0</v>
      </c>
      <c r="BO87" s="67">
        <f t="shared" ref="BO87:BO90" si="381">IF(Q87-BM87&gt;0,Q87-BM87,0)</f>
        <v>0</v>
      </c>
      <c r="BP87" s="65">
        <f t="shared" ref="BP87:BP90" si="382">IF(BN87+BO87&gt;0,BN87+BO87,0)</f>
        <v>0</v>
      </c>
      <c r="BQ87" s="65">
        <f t="shared" ref="BQ87:BQ90" si="383">IF(U87=0,0,U87)</f>
        <v>0</v>
      </c>
      <c r="BR87" s="65">
        <f t="shared" ref="BR87:BR90" si="384">IF(W87=0,0,W87)</f>
        <v>0</v>
      </c>
      <c r="BS87" s="65">
        <f t="shared" ref="BS87:BS90" si="385">IF(BQ87+BR87&gt;0,BQ87+BR87,0)</f>
        <v>0</v>
      </c>
      <c r="BT87" s="65">
        <f t="shared" ref="BT87:BT90" si="386">IF(V87&gt;0,V87,0)</f>
        <v>0</v>
      </c>
      <c r="BU87" s="65">
        <f t="shared" ref="BU87:BU90" si="387">IF(BP87=0,0,BP87)</f>
        <v>0</v>
      </c>
      <c r="BV87" s="65">
        <f t="shared" ref="BV87:BV90" si="388">IF(BS87=0,0,BS87)</f>
        <v>0</v>
      </c>
      <c r="BW87" s="65">
        <f t="shared" ref="BW87:BW90" si="389">IF(BP87+BT87+BV87&gt;0,BP87+BT87+BV87,0)</f>
        <v>0</v>
      </c>
      <c r="BX87" s="6"/>
      <c r="BY87" s="6"/>
      <c r="BZ87" s="6"/>
      <c r="CA87" s="6"/>
      <c r="CB87" s="6"/>
      <c r="CC87" s="6"/>
      <c r="CD87" s="6"/>
      <c r="CE87" s="6"/>
      <c r="CF87" s="6"/>
      <c r="CG87" s="6"/>
    </row>
    <row r="88" spans="1:85" ht="15.75" customHeight="1">
      <c r="A88" s="52" t="s">
        <v>226</v>
      </c>
      <c r="B88" s="188" t="s">
        <v>227</v>
      </c>
      <c r="C88" s="189" t="s">
        <v>224</v>
      </c>
      <c r="D88" s="190" t="s">
        <v>228</v>
      </c>
      <c r="E88" s="191">
        <v>380000</v>
      </c>
      <c r="F88" s="192">
        <v>0</v>
      </c>
      <c r="G88" s="58">
        <f t="shared" si="373"/>
        <v>380000</v>
      </c>
      <c r="H88" s="192">
        <v>0</v>
      </c>
      <c r="I88" s="59">
        <f t="shared" si="267"/>
        <v>0.31051439473684228</v>
      </c>
      <c r="J88" s="59">
        <f t="shared" si="268"/>
        <v>0.31051439473684217</v>
      </c>
      <c r="K88" s="60">
        <f>5000+2100+40000+40000+120000+108205.64+18493-36800-41982.9-52434-500.2-747-15890-15972-1000-2000-50-1997.5-5000-8008.85+17293.64+368248-1500-369668.52-47793.84</f>
        <v>117995.47000000006</v>
      </c>
      <c r="L88" s="172">
        <f>17697.57</f>
        <v>17697.57</v>
      </c>
      <c r="M88" s="74">
        <v>0</v>
      </c>
      <c r="N88" s="74">
        <v>0</v>
      </c>
      <c r="O88" s="63">
        <f t="shared" ref="O88:Q88" si="390">AA88+AD88+AG88+AJ88+AM88+AP88+AS88+AV88+AY88+BB88+BE88+BH88</f>
        <v>117995.47000000002</v>
      </c>
      <c r="P88" s="61">
        <f t="shared" si="390"/>
        <v>17697.57</v>
      </c>
      <c r="Q88" s="61">
        <f t="shared" si="390"/>
        <v>0</v>
      </c>
      <c r="R88" s="61">
        <f t="shared" ref="R88:T88" si="391">IF(BK88=0,SUM(AA88+AD88+AG88+AJ88+AM88+AP88+AS88+AV88+AY88+BB88+BE88+BH88),BK88)</f>
        <v>117995.47000000002</v>
      </c>
      <c r="S88" s="61">
        <f t="shared" si="391"/>
        <v>17697.57</v>
      </c>
      <c r="T88" s="61">
        <f t="shared" si="391"/>
        <v>0</v>
      </c>
      <c r="U88" s="62">
        <f t="shared" si="376"/>
        <v>0</v>
      </c>
      <c r="V88" s="63">
        <f t="shared" si="377"/>
        <v>0</v>
      </c>
      <c r="W88" s="63">
        <f t="shared" si="378"/>
        <v>0</v>
      </c>
      <c r="X88" s="64">
        <f t="shared" ref="X88:Y88" si="392">IF(O88&gt;0,O88/K88,0)</f>
        <v>0.99999999999999967</v>
      </c>
      <c r="Y88" s="64">
        <f t="shared" si="392"/>
        <v>1</v>
      </c>
      <c r="Z88" s="64">
        <f t="shared" si="272"/>
        <v>0</v>
      </c>
      <c r="AA88" s="65">
        <f>1897.15+2201.95+2966.67+3459.11+34268.92</f>
        <v>44793.8</v>
      </c>
      <c r="AB88" s="100">
        <v>17697.57</v>
      </c>
      <c r="AC88" s="65"/>
      <c r="AD88" s="100">
        <v>34.229999999999997</v>
      </c>
      <c r="AE88" s="66"/>
      <c r="AF88" s="66"/>
      <c r="AG88" s="66"/>
      <c r="AH88" s="66"/>
      <c r="AI88" s="65"/>
      <c r="AJ88" s="100">
        <v>29755.61</v>
      </c>
      <c r="AK88" s="65"/>
      <c r="AL88" s="65"/>
      <c r="AM88" s="65">
        <f>2997.5+37382.05+3032.28</f>
        <v>43411.83</v>
      </c>
      <c r="AN88" s="65"/>
      <c r="AO88" s="65"/>
      <c r="AP88" s="65">
        <f>47793.84-47793.84</f>
        <v>0</v>
      </c>
      <c r="AQ88" s="65"/>
      <c r="AR88" s="65"/>
      <c r="AS88" s="65"/>
      <c r="AT88" s="65"/>
      <c r="AU88" s="65"/>
      <c r="AV88" s="65"/>
      <c r="AW88" s="65"/>
      <c r="AX88" s="65"/>
      <c r="AY88" s="65"/>
      <c r="AZ88" s="65"/>
      <c r="BA88" s="65"/>
      <c r="BB88" s="65"/>
      <c r="BC88" s="65"/>
      <c r="BD88" s="65"/>
      <c r="BE88" s="65"/>
      <c r="BF88" s="65"/>
      <c r="BG88" s="65"/>
      <c r="BH88" s="65"/>
      <c r="BI88" s="65"/>
      <c r="BJ88" s="65"/>
      <c r="BK88" s="65">
        <v>0</v>
      </c>
      <c r="BL88" s="65">
        <v>0</v>
      </c>
      <c r="BM88" s="65">
        <v>0</v>
      </c>
      <c r="BN88" s="65">
        <f t="shared" si="380"/>
        <v>117995.47000000002</v>
      </c>
      <c r="BO88" s="67">
        <f t="shared" si="381"/>
        <v>0</v>
      </c>
      <c r="BP88" s="65">
        <f t="shared" si="382"/>
        <v>117995.47000000002</v>
      </c>
      <c r="BQ88" s="65">
        <f t="shared" si="383"/>
        <v>0</v>
      </c>
      <c r="BR88" s="65">
        <f t="shared" si="384"/>
        <v>0</v>
      </c>
      <c r="BS88" s="65">
        <f t="shared" si="385"/>
        <v>0</v>
      </c>
      <c r="BT88" s="65">
        <f t="shared" si="386"/>
        <v>0</v>
      </c>
      <c r="BU88" s="65">
        <f t="shared" si="387"/>
        <v>117995.47000000002</v>
      </c>
      <c r="BV88" s="65">
        <f t="shared" si="388"/>
        <v>0</v>
      </c>
      <c r="BW88" s="65">
        <f t="shared" si="389"/>
        <v>117995.47000000002</v>
      </c>
      <c r="BX88" s="6"/>
      <c r="BY88" s="6"/>
      <c r="BZ88" s="6"/>
      <c r="CA88" s="6"/>
      <c r="CB88" s="6"/>
      <c r="CC88" s="6"/>
      <c r="CD88" s="6"/>
      <c r="CE88" s="6"/>
      <c r="CF88" s="6"/>
      <c r="CG88" s="6"/>
    </row>
    <row r="89" spans="1:85" ht="15.75" customHeight="1">
      <c r="A89" s="52" t="s">
        <v>229</v>
      </c>
      <c r="B89" s="188"/>
      <c r="C89" s="189" t="s">
        <v>224</v>
      </c>
      <c r="D89" s="193" t="s">
        <v>230</v>
      </c>
      <c r="E89" s="194">
        <v>0</v>
      </c>
      <c r="F89" s="192">
        <v>0</v>
      </c>
      <c r="G89" s="58">
        <f t="shared" si="373"/>
        <v>0</v>
      </c>
      <c r="H89" s="192">
        <v>0</v>
      </c>
      <c r="I89" s="59">
        <f t="shared" si="267"/>
        <v>0</v>
      </c>
      <c r="J89" s="59">
        <f t="shared" si="268"/>
        <v>0</v>
      </c>
      <c r="K89" s="74">
        <v>250000</v>
      </c>
      <c r="L89" s="172">
        <v>0</v>
      </c>
      <c r="M89" s="74">
        <v>0</v>
      </c>
      <c r="N89" s="74">
        <v>0</v>
      </c>
      <c r="O89" s="63">
        <f t="shared" ref="O89:Q89" si="393">AA89+AD89+AG89+AJ89+AM89+AP89+AS89+AV89+AY89+BB89+BE89+BH89</f>
        <v>0</v>
      </c>
      <c r="P89" s="61">
        <f t="shared" si="393"/>
        <v>0</v>
      </c>
      <c r="Q89" s="61">
        <f t="shared" si="393"/>
        <v>0</v>
      </c>
      <c r="R89" s="61">
        <f t="shared" ref="R89:T89" si="394">IF(BK89=0,SUM(AA89+AD89+AG89+AJ89+AM89+AP89+AS89+AV89+AY89+BB89+BE89+BH89),BK89)</f>
        <v>0</v>
      </c>
      <c r="S89" s="61">
        <f t="shared" si="394"/>
        <v>0</v>
      </c>
      <c r="T89" s="61">
        <f t="shared" si="394"/>
        <v>0</v>
      </c>
      <c r="U89" s="62">
        <f t="shared" si="376"/>
        <v>250000</v>
      </c>
      <c r="V89" s="63">
        <f t="shared" si="377"/>
        <v>0</v>
      </c>
      <c r="W89" s="63">
        <f t="shared" si="378"/>
        <v>0</v>
      </c>
      <c r="X89" s="64">
        <f t="shared" ref="X89:Y89" si="395">IF(O89&gt;0,O89/K89,0)</f>
        <v>0</v>
      </c>
      <c r="Y89" s="64">
        <f t="shared" si="395"/>
        <v>0</v>
      </c>
      <c r="Z89" s="64">
        <f t="shared" si="272"/>
        <v>0</v>
      </c>
      <c r="AA89" s="100"/>
      <c r="AB89" s="65"/>
      <c r="AC89" s="65"/>
      <c r="AD89" s="65"/>
      <c r="AE89" s="66"/>
      <c r="AF89" s="66"/>
      <c r="AG89" s="86"/>
      <c r="AH89" s="66"/>
      <c r="AI89" s="65"/>
      <c r="AJ89" s="65"/>
      <c r="AK89" s="65"/>
      <c r="AL89" s="65"/>
      <c r="AM89" s="65"/>
      <c r="AN89" s="65"/>
      <c r="AO89" s="65"/>
      <c r="AP89" s="65"/>
      <c r="AQ89" s="65"/>
      <c r="AR89" s="65"/>
      <c r="AS89" s="65"/>
      <c r="AT89" s="65"/>
      <c r="AU89" s="65"/>
      <c r="AV89" s="65"/>
      <c r="AW89" s="65"/>
      <c r="AX89" s="65"/>
      <c r="AY89" s="65"/>
      <c r="AZ89" s="65"/>
      <c r="BA89" s="65"/>
      <c r="BB89" s="65"/>
      <c r="BC89" s="65"/>
      <c r="BD89" s="65"/>
      <c r="BE89" s="65"/>
      <c r="BF89" s="65"/>
      <c r="BG89" s="65"/>
      <c r="BH89" s="65"/>
      <c r="BI89" s="65"/>
      <c r="BJ89" s="65"/>
      <c r="BK89" s="65">
        <v>0</v>
      </c>
      <c r="BL89" s="65">
        <v>0</v>
      </c>
      <c r="BM89" s="65">
        <v>0</v>
      </c>
      <c r="BN89" s="65">
        <f t="shared" si="380"/>
        <v>0</v>
      </c>
      <c r="BO89" s="67">
        <f t="shared" si="381"/>
        <v>0</v>
      </c>
      <c r="BP89" s="65">
        <f t="shared" si="382"/>
        <v>0</v>
      </c>
      <c r="BQ89" s="65">
        <f t="shared" si="383"/>
        <v>250000</v>
      </c>
      <c r="BR89" s="65">
        <f t="shared" si="384"/>
        <v>0</v>
      </c>
      <c r="BS89" s="65">
        <f t="shared" si="385"/>
        <v>250000</v>
      </c>
      <c r="BT89" s="65">
        <f t="shared" si="386"/>
        <v>0</v>
      </c>
      <c r="BU89" s="65">
        <f t="shared" si="387"/>
        <v>0</v>
      </c>
      <c r="BV89" s="65">
        <f t="shared" si="388"/>
        <v>250000</v>
      </c>
      <c r="BW89" s="65">
        <f t="shared" si="389"/>
        <v>250000</v>
      </c>
      <c r="BX89" s="6"/>
      <c r="BY89" s="6"/>
      <c r="BZ89" s="6"/>
      <c r="CA89" s="6"/>
      <c r="CB89" s="6"/>
      <c r="CC89" s="6"/>
      <c r="CD89" s="6"/>
      <c r="CE89" s="6"/>
      <c r="CF89" s="6"/>
      <c r="CG89" s="6"/>
    </row>
    <row r="90" spans="1:85" ht="15.75" customHeight="1">
      <c r="A90" s="104" t="s">
        <v>231</v>
      </c>
      <c r="B90" s="168"/>
      <c r="C90" s="68" t="s">
        <v>232</v>
      </c>
      <c r="D90" s="70" t="s">
        <v>233</v>
      </c>
      <c r="E90" s="56">
        <v>3000</v>
      </c>
      <c r="F90" s="57">
        <v>0</v>
      </c>
      <c r="G90" s="58">
        <f t="shared" si="373"/>
        <v>3000</v>
      </c>
      <c r="H90" s="57">
        <v>0</v>
      </c>
      <c r="I90" s="59">
        <f t="shared" si="267"/>
        <v>1.03355</v>
      </c>
      <c r="J90" s="59">
        <f t="shared" si="268"/>
        <v>0.33343</v>
      </c>
      <c r="K90" s="74">
        <f>1000+1500+1000-399.35</f>
        <v>3100.65</v>
      </c>
      <c r="L90" s="74">
        <v>0</v>
      </c>
      <c r="M90" s="74">
        <v>0</v>
      </c>
      <c r="N90" s="74">
        <v>0</v>
      </c>
      <c r="O90" s="63">
        <f t="shared" ref="O90:Q90" si="396">AA90+AD90+AG90+AJ90+AM90+AP90+AS90+AV90+AY90+BB90+BE90+BH90</f>
        <v>1000.29</v>
      </c>
      <c r="P90" s="61">
        <f t="shared" si="396"/>
        <v>0</v>
      </c>
      <c r="Q90" s="61">
        <f t="shared" si="396"/>
        <v>0</v>
      </c>
      <c r="R90" s="61">
        <f t="shared" ref="R90:T90" si="397">IF(BK90=0,SUM(AA90+AD90+AG90+AJ90+AM90+AP90+AS90+AV90+AY90+BB90+BE90+BH90),BK90)</f>
        <v>1000.29</v>
      </c>
      <c r="S90" s="61">
        <f t="shared" si="397"/>
        <v>0</v>
      </c>
      <c r="T90" s="61">
        <f t="shared" si="397"/>
        <v>0</v>
      </c>
      <c r="U90" s="62">
        <f t="shared" si="376"/>
        <v>2100.36</v>
      </c>
      <c r="V90" s="63">
        <f t="shared" si="377"/>
        <v>0</v>
      </c>
      <c r="W90" s="63">
        <f t="shared" si="378"/>
        <v>0</v>
      </c>
      <c r="X90" s="64">
        <f t="shared" ref="X90:Y90" si="398">IF(O90&gt;0,O90/K90,0)</f>
        <v>0.32260655023946588</v>
      </c>
      <c r="Y90" s="64">
        <f t="shared" si="398"/>
        <v>0</v>
      </c>
      <c r="Z90" s="64">
        <f t="shared" si="272"/>
        <v>0</v>
      </c>
      <c r="AA90" s="100">
        <v>68.260000000000005</v>
      </c>
      <c r="AB90" s="65"/>
      <c r="AC90" s="65"/>
      <c r="AD90" s="65"/>
      <c r="AE90" s="66"/>
      <c r="AF90" s="66"/>
      <c r="AG90" s="86">
        <f>153.82+311.56</f>
        <v>465.38</v>
      </c>
      <c r="AH90" s="66"/>
      <c r="AI90" s="65"/>
      <c r="AJ90" s="65"/>
      <c r="AK90" s="65"/>
      <c r="AL90" s="65"/>
      <c r="AM90" s="65">
        <f>175.84+50.56+240.25</f>
        <v>466.65</v>
      </c>
      <c r="AN90" s="65"/>
      <c r="AO90" s="65"/>
      <c r="AP90" s="65"/>
      <c r="AQ90" s="65"/>
      <c r="AR90" s="65"/>
      <c r="AS90" s="65"/>
      <c r="AT90" s="65"/>
      <c r="AU90" s="65"/>
      <c r="AV90" s="65"/>
      <c r="AW90" s="65"/>
      <c r="AX90" s="65"/>
      <c r="AY90" s="65"/>
      <c r="AZ90" s="65"/>
      <c r="BA90" s="65"/>
      <c r="BB90" s="65"/>
      <c r="BC90" s="65"/>
      <c r="BD90" s="65"/>
      <c r="BE90" s="65"/>
      <c r="BF90" s="65"/>
      <c r="BG90" s="65"/>
      <c r="BH90" s="65"/>
      <c r="BI90" s="65"/>
      <c r="BJ90" s="65"/>
      <c r="BK90" s="65">
        <v>0</v>
      </c>
      <c r="BL90" s="65">
        <v>0</v>
      </c>
      <c r="BM90" s="65">
        <v>0</v>
      </c>
      <c r="BN90" s="65">
        <f t="shared" si="380"/>
        <v>1000.29</v>
      </c>
      <c r="BO90" s="67">
        <f t="shared" si="381"/>
        <v>0</v>
      </c>
      <c r="BP90" s="65">
        <f t="shared" si="382"/>
        <v>1000.29</v>
      </c>
      <c r="BQ90" s="65">
        <f t="shared" si="383"/>
        <v>2100.36</v>
      </c>
      <c r="BR90" s="65">
        <f t="shared" si="384"/>
        <v>0</v>
      </c>
      <c r="BS90" s="65">
        <f t="shared" si="385"/>
        <v>2100.36</v>
      </c>
      <c r="BT90" s="65">
        <f t="shared" si="386"/>
        <v>0</v>
      </c>
      <c r="BU90" s="65">
        <f t="shared" si="387"/>
        <v>1000.29</v>
      </c>
      <c r="BV90" s="65">
        <f t="shared" si="388"/>
        <v>2100.36</v>
      </c>
      <c r="BW90" s="65">
        <f t="shared" si="389"/>
        <v>3100.65</v>
      </c>
      <c r="BX90" s="6"/>
      <c r="BY90" s="6"/>
      <c r="BZ90" s="6"/>
      <c r="CA90" s="6"/>
      <c r="CB90" s="6"/>
      <c r="CC90" s="6"/>
      <c r="CD90" s="6"/>
      <c r="CE90" s="6"/>
      <c r="CF90" s="6"/>
      <c r="CG90" s="6"/>
    </row>
    <row r="91" spans="1:85" ht="15.75">
      <c r="A91" s="75"/>
      <c r="B91" s="76"/>
      <c r="C91" s="77"/>
      <c r="D91" s="78" t="s">
        <v>234</v>
      </c>
      <c r="E91" s="45">
        <f t="shared" ref="E91:H91" si="399">SUM(E92:E96)</f>
        <v>35000</v>
      </c>
      <c r="F91" s="46">
        <f t="shared" si="399"/>
        <v>0</v>
      </c>
      <c r="G91" s="46">
        <f t="shared" si="399"/>
        <v>35000</v>
      </c>
      <c r="H91" s="46">
        <f t="shared" si="399"/>
        <v>0</v>
      </c>
      <c r="I91" s="47">
        <f t="shared" si="267"/>
        <v>0.5295645714285715</v>
      </c>
      <c r="J91" s="47">
        <f t="shared" si="268"/>
        <v>0.13415028571428572</v>
      </c>
      <c r="K91" s="46">
        <f t="shared" ref="K91:W91" si="400">SUM(K92:K96)</f>
        <v>18534.760000000002</v>
      </c>
      <c r="L91" s="46">
        <f t="shared" si="400"/>
        <v>5847.74</v>
      </c>
      <c r="M91" s="46">
        <f t="shared" si="400"/>
        <v>0</v>
      </c>
      <c r="N91" s="46">
        <f t="shared" si="400"/>
        <v>0</v>
      </c>
      <c r="O91" s="46">
        <f t="shared" si="400"/>
        <v>4695.26</v>
      </c>
      <c r="P91" s="46">
        <f t="shared" si="400"/>
        <v>5847.74</v>
      </c>
      <c r="Q91" s="46">
        <f t="shared" si="400"/>
        <v>0</v>
      </c>
      <c r="R91" s="46">
        <f t="shared" si="400"/>
        <v>4695.26</v>
      </c>
      <c r="S91" s="46">
        <f t="shared" si="400"/>
        <v>5847.74</v>
      </c>
      <c r="T91" s="46">
        <f t="shared" si="400"/>
        <v>0</v>
      </c>
      <c r="U91" s="46">
        <f t="shared" si="400"/>
        <v>13839.5</v>
      </c>
      <c r="V91" s="46">
        <f t="shared" si="400"/>
        <v>0</v>
      </c>
      <c r="W91" s="46">
        <f t="shared" si="400"/>
        <v>0</v>
      </c>
      <c r="X91" s="50">
        <f t="shared" ref="X91:Y91" si="401">IF(O91&gt;0,O91/K91,0)</f>
        <v>0.25332186659012579</v>
      </c>
      <c r="Y91" s="50">
        <f t="shared" si="401"/>
        <v>1</v>
      </c>
      <c r="Z91" s="50">
        <f t="shared" si="272"/>
        <v>0</v>
      </c>
      <c r="AA91" s="46">
        <f t="shared" ref="AA91:BW91" si="402">SUM(AA92:AA96)</f>
        <v>0</v>
      </c>
      <c r="AB91" s="46">
        <f t="shared" si="402"/>
        <v>0</v>
      </c>
      <c r="AC91" s="46">
        <f t="shared" si="402"/>
        <v>0</v>
      </c>
      <c r="AD91" s="46">
        <f t="shared" si="402"/>
        <v>0</v>
      </c>
      <c r="AE91" s="46">
        <f t="shared" si="402"/>
        <v>4094.94</v>
      </c>
      <c r="AF91" s="46">
        <f t="shared" si="402"/>
        <v>0</v>
      </c>
      <c r="AG91" s="46">
        <f t="shared" si="402"/>
        <v>0</v>
      </c>
      <c r="AH91" s="46">
        <f t="shared" si="402"/>
        <v>1752.8</v>
      </c>
      <c r="AI91" s="46">
        <f t="shared" si="402"/>
        <v>0</v>
      </c>
      <c r="AJ91" s="46">
        <f t="shared" si="402"/>
        <v>1399</v>
      </c>
      <c r="AK91" s="46">
        <f t="shared" si="402"/>
        <v>0</v>
      </c>
      <c r="AL91" s="46">
        <f t="shared" si="402"/>
        <v>0</v>
      </c>
      <c r="AM91" s="46">
        <f t="shared" si="402"/>
        <v>1485.1</v>
      </c>
      <c r="AN91" s="46">
        <f t="shared" si="402"/>
        <v>0</v>
      </c>
      <c r="AO91" s="46">
        <f t="shared" si="402"/>
        <v>0</v>
      </c>
      <c r="AP91" s="46">
        <f t="shared" si="402"/>
        <v>1811.16</v>
      </c>
      <c r="AQ91" s="46">
        <f t="shared" si="402"/>
        <v>0</v>
      </c>
      <c r="AR91" s="46">
        <f t="shared" si="402"/>
        <v>0</v>
      </c>
      <c r="AS91" s="46">
        <f t="shared" si="402"/>
        <v>0</v>
      </c>
      <c r="AT91" s="46">
        <f t="shared" si="402"/>
        <v>0</v>
      </c>
      <c r="AU91" s="46">
        <f t="shared" si="402"/>
        <v>0</v>
      </c>
      <c r="AV91" s="46">
        <f t="shared" si="402"/>
        <v>0</v>
      </c>
      <c r="AW91" s="46">
        <f t="shared" si="402"/>
        <v>0</v>
      </c>
      <c r="AX91" s="46">
        <f t="shared" si="402"/>
        <v>0</v>
      </c>
      <c r="AY91" s="46">
        <f t="shared" si="402"/>
        <v>0</v>
      </c>
      <c r="AZ91" s="46">
        <f t="shared" si="402"/>
        <v>0</v>
      </c>
      <c r="BA91" s="46">
        <f t="shared" si="402"/>
        <v>0</v>
      </c>
      <c r="BB91" s="46">
        <f t="shared" si="402"/>
        <v>0</v>
      </c>
      <c r="BC91" s="46">
        <f t="shared" si="402"/>
        <v>0</v>
      </c>
      <c r="BD91" s="46">
        <f t="shared" si="402"/>
        <v>0</v>
      </c>
      <c r="BE91" s="46">
        <f t="shared" si="402"/>
        <v>0</v>
      </c>
      <c r="BF91" s="46">
        <f t="shared" si="402"/>
        <v>0</v>
      </c>
      <c r="BG91" s="46">
        <f t="shared" si="402"/>
        <v>0</v>
      </c>
      <c r="BH91" s="46">
        <f t="shared" si="402"/>
        <v>0</v>
      </c>
      <c r="BI91" s="46">
        <f t="shared" si="402"/>
        <v>0</v>
      </c>
      <c r="BJ91" s="46">
        <f t="shared" si="402"/>
        <v>0</v>
      </c>
      <c r="BK91" s="46">
        <f t="shared" si="402"/>
        <v>0</v>
      </c>
      <c r="BL91" s="46">
        <f t="shared" si="402"/>
        <v>0</v>
      </c>
      <c r="BM91" s="46">
        <f t="shared" si="402"/>
        <v>0</v>
      </c>
      <c r="BN91" s="46">
        <f t="shared" si="402"/>
        <v>4695.26</v>
      </c>
      <c r="BO91" s="46">
        <f t="shared" si="402"/>
        <v>0</v>
      </c>
      <c r="BP91" s="46">
        <f t="shared" si="402"/>
        <v>4695.26</v>
      </c>
      <c r="BQ91" s="46">
        <f t="shared" si="402"/>
        <v>13839.5</v>
      </c>
      <c r="BR91" s="46">
        <f t="shared" si="402"/>
        <v>0</v>
      </c>
      <c r="BS91" s="46">
        <f t="shared" si="402"/>
        <v>13839.5</v>
      </c>
      <c r="BT91" s="46">
        <f t="shared" si="402"/>
        <v>0</v>
      </c>
      <c r="BU91" s="46">
        <f t="shared" si="402"/>
        <v>4695.26</v>
      </c>
      <c r="BV91" s="46">
        <f t="shared" si="402"/>
        <v>13839.5</v>
      </c>
      <c r="BW91" s="46">
        <f t="shared" si="402"/>
        <v>18534.760000000002</v>
      </c>
      <c r="BX91" s="51"/>
      <c r="BY91" s="51"/>
      <c r="BZ91" s="51"/>
      <c r="CA91" s="51"/>
      <c r="CB91" s="51"/>
      <c r="CC91" s="51"/>
      <c r="CD91" s="51"/>
      <c r="CE91" s="51"/>
      <c r="CF91" s="51"/>
      <c r="CG91" s="51"/>
    </row>
    <row r="92" spans="1:85" ht="15.75" customHeight="1">
      <c r="A92" s="195"/>
      <c r="B92" s="168"/>
      <c r="C92" s="54" t="s">
        <v>235</v>
      </c>
      <c r="D92" s="55" t="s">
        <v>236</v>
      </c>
      <c r="E92" s="187">
        <v>0</v>
      </c>
      <c r="F92" s="187">
        <v>0</v>
      </c>
      <c r="G92" s="58">
        <f t="shared" ref="G92:G96" si="403">E92-F92</f>
        <v>0</v>
      </c>
      <c r="H92" s="187">
        <v>0</v>
      </c>
      <c r="I92" s="59">
        <f t="shared" si="267"/>
        <v>0</v>
      </c>
      <c r="J92" s="59">
        <f t="shared" si="268"/>
        <v>0</v>
      </c>
      <c r="K92" s="74">
        <v>0</v>
      </c>
      <c r="L92" s="74">
        <v>0</v>
      </c>
      <c r="M92" s="74">
        <v>0</v>
      </c>
      <c r="N92" s="74">
        <v>0</v>
      </c>
      <c r="O92" s="61">
        <f t="shared" ref="O92:Q92" si="404">AA92+AD92+AG92+AJ92+AM92+AP92+AS92+AV92+AY92+BB92+BE92+BH92</f>
        <v>0</v>
      </c>
      <c r="P92" s="61">
        <f t="shared" si="404"/>
        <v>0</v>
      </c>
      <c r="Q92" s="61">
        <f t="shared" si="404"/>
        <v>0</v>
      </c>
      <c r="R92" s="61">
        <f t="shared" ref="R92:T92" si="405">IF(BK92=0,SUM(AA92+AD92+AG92+AJ92+AM92+AP92+AS92+AV92+AY92+BB92+BE92+BH92),BK92)</f>
        <v>0</v>
      </c>
      <c r="S92" s="61">
        <f t="shared" si="405"/>
        <v>0</v>
      </c>
      <c r="T92" s="61">
        <f t="shared" si="405"/>
        <v>0</v>
      </c>
      <c r="U92" s="63">
        <f t="shared" ref="U92:U96" si="406">K92-O92</f>
        <v>0</v>
      </c>
      <c r="V92" s="63">
        <f t="shared" ref="V92:V96" si="407">L92-M92-S92</f>
        <v>0</v>
      </c>
      <c r="W92" s="63">
        <f t="shared" ref="W92:W96" si="408">N92-Q92</f>
        <v>0</v>
      </c>
      <c r="X92" s="64">
        <f t="shared" ref="X92:Y92" si="409">IF(O92&gt;0,O92/K92,0)</f>
        <v>0</v>
      </c>
      <c r="Y92" s="64">
        <f t="shared" si="409"/>
        <v>0</v>
      </c>
      <c r="Z92" s="64">
        <f t="shared" si="272"/>
        <v>0</v>
      </c>
      <c r="AA92" s="65"/>
      <c r="AB92" s="65"/>
      <c r="AC92" s="65"/>
      <c r="AD92" s="65"/>
      <c r="AE92" s="66"/>
      <c r="AF92" s="66"/>
      <c r="AG92" s="66"/>
      <c r="AH92" s="65"/>
      <c r="AI92" s="65"/>
      <c r="AJ92" s="65"/>
      <c r="AK92" s="65"/>
      <c r="AL92" s="65"/>
      <c r="AM92" s="65"/>
      <c r="AN92" s="65"/>
      <c r="AO92" s="65"/>
      <c r="AP92" s="65"/>
      <c r="AQ92" s="65"/>
      <c r="AR92" s="65"/>
      <c r="AS92" s="65"/>
      <c r="AT92" s="65"/>
      <c r="AU92" s="65"/>
      <c r="AV92" s="65"/>
      <c r="AW92" s="65"/>
      <c r="AX92" s="65"/>
      <c r="AY92" s="65"/>
      <c r="AZ92" s="65"/>
      <c r="BA92" s="65"/>
      <c r="BB92" s="65"/>
      <c r="BC92" s="65"/>
      <c r="BD92" s="65"/>
      <c r="BE92" s="65"/>
      <c r="BF92" s="65"/>
      <c r="BG92" s="65"/>
      <c r="BH92" s="65"/>
      <c r="BI92" s="65"/>
      <c r="BJ92" s="65"/>
      <c r="BK92" s="65">
        <v>0</v>
      </c>
      <c r="BL92" s="65">
        <v>0</v>
      </c>
      <c r="BM92" s="65">
        <v>0</v>
      </c>
      <c r="BN92" s="65">
        <f t="shared" ref="BN92:BN96" si="410">IF(O92-BK92&gt;0,O92-BK92,0)</f>
        <v>0</v>
      </c>
      <c r="BO92" s="67">
        <f t="shared" ref="BO92:BO96" si="411">IF(Q92-BM92&gt;0,Q92-BM92,0)</f>
        <v>0</v>
      </c>
      <c r="BP92" s="65">
        <f t="shared" ref="BP92:BP96" si="412">IF(BN92+BO92&gt;0,BN92+BO92,0)</f>
        <v>0</v>
      </c>
      <c r="BQ92" s="65">
        <f t="shared" ref="BQ92:BQ96" si="413">IF(U92=0,0,U92)</f>
        <v>0</v>
      </c>
      <c r="BR92" s="65">
        <f t="shared" ref="BR92:BR96" si="414">IF(W92=0,0,W92)</f>
        <v>0</v>
      </c>
      <c r="BS92" s="65">
        <f t="shared" ref="BS92:BS96" si="415">IF(BQ92+BR92&gt;0,BQ92+BR92,0)</f>
        <v>0</v>
      </c>
      <c r="BT92" s="65">
        <f t="shared" ref="BT92:BT96" si="416">IF(V92&gt;0,V92,0)</f>
        <v>0</v>
      </c>
      <c r="BU92" s="65">
        <f t="shared" ref="BU92:BU96" si="417">IF(BP92=0,0,BP92)</f>
        <v>0</v>
      </c>
      <c r="BV92" s="65">
        <f t="shared" ref="BV92:BV96" si="418">IF(BS92=0,0,BS92)</f>
        <v>0</v>
      </c>
      <c r="BW92" s="65">
        <f t="shared" ref="BW92:BW96" si="419">IF(BP92+BT92+BV92&gt;0,BP92+BT92+BV92,0)</f>
        <v>0</v>
      </c>
      <c r="BX92" s="6"/>
      <c r="BY92" s="6"/>
      <c r="BZ92" s="6"/>
      <c r="CA92" s="6"/>
      <c r="CB92" s="6"/>
      <c r="CC92" s="6"/>
      <c r="CD92" s="6"/>
      <c r="CE92" s="6"/>
      <c r="CF92" s="6"/>
      <c r="CG92" s="6"/>
    </row>
    <row r="93" spans="1:85" ht="15.75" customHeight="1">
      <c r="A93" s="185" t="s">
        <v>237</v>
      </c>
      <c r="B93" s="121" t="s">
        <v>238</v>
      </c>
      <c r="C93" s="68" t="s">
        <v>235</v>
      </c>
      <c r="D93" s="105" t="s">
        <v>239</v>
      </c>
      <c r="E93" s="192">
        <v>0</v>
      </c>
      <c r="F93" s="192">
        <v>0</v>
      </c>
      <c r="G93" s="58">
        <f t="shared" si="403"/>
        <v>0</v>
      </c>
      <c r="H93" s="192">
        <v>0</v>
      </c>
      <c r="I93" s="59">
        <f t="shared" si="267"/>
        <v>0</v>
      </c>
      <c r="J93" s="59">
        <f t="shared" si="268"/>
        <v>0</v>
      </c>
      <c r="K93" s="74">
        <f>2798+4197+6995</f>
        <v>13990</v>
      </c>
      <c r="L93" s="100">
        <v>2798</v>
      </c>
      <c r="M93" s="74">
        <v>0</v>
      </c>
      <c r="N93" s="74">
        <v>0</v>
      </c>
      <c r="O93" s="63">
        <f t="shared" ref="O93:Q93" si="420">AA93+AD93+AG93+AJ93+AM93+AP93+AS93+AV93+AY93+BB93+BE93+BH93</f>
        <v>4197</v>
      </c>
      <c r="P93" s="61">
        <f t="shared" si="420"/>
        <v>2798</v>
      </c>
      <c r="Q93" s="61">
        <f t="shared" si="420"/>
        <v>0</v>
      </c>
      <c r="R93" s="61">
        <f t="shared" ref="R93:T93" si="421">IF(BK93=0,SUM(AA93+AD93+AG93+AJ93+AM93+AP93+AS93+AV93+AY93+BB93+BE93+BH93),BK93)</f>
        <v>4197</v>
      </c>
      <c r="S93" s="61">
        <f t="shared" si="421"/>
        <v>2798</v>
      </c>
      <c r="T93" s="61">
        <f t="shared" si="421"/>
        <v>0</v>
      </c>
      <c r="U93" s="62">
        <f t="shared" si="406"/>
        <v>9793</v>
      </c>
      <c r="V93" s="63">
        <f t="shared" si="407"/>
        <v>0</v>
      </c>
      <c r="W93" s="63">
        <f t="shared" si="408"/>
        <v>0</v>
      </c>
      <c r="X93" s="64">
        <f t="shared" ref="X93:Y93" si="422">IF(O93&gt;0,O93/K93,0)</f>
        <v>0.3</v>
      </c>
      <c r="Y93" s="64">
        <f t="shared" si="422"/>
        <v>1</v>
      </c>
      <c r="Z93" s="64">
        <f t="shared" si="272"/>
        <v>0</v>
      </c>
      <c r="AA93" s="65"/>
      <c r="AB93" s="65"/>
      <c r="AC93" s="65"/>
      <c r="AD93" s="65"/>
      <c r="AE93" s="113">
        <v>1399</v>
      </c>
      <c r="AF93" s="66"/>
      <c r="AG93" s="66"/>
      <c r="AH93" s="66">
        <f>1399</f>
        <v>1399</v>
      </c>
      <c r="AI93" s="65"/>
      <c r="AJ93" s="100">
        <v>1399</v>
      </c>
      <c r="AK93" s="65"/>
      <c r="AL93" s="65"/>
      <c r="AM93" s="100">
        <v>1399</v>
      </c>
      <c r="AN93" s="65"/>
      <c r="AO93" s="65"/>
      <c r="AP93" s="65">
        <f>1399</f>
        <v>1399</v>
      </c>
      <c r="AQ93" s="65"/>
      <c r="AR93" s="65"/>
      <c r="AS93" s="65"/>
      <c r="AT93" s="65"/>
      <c r="AU93" s="65"/>
      <c r="AV93" s="65"/>
      <c r="AW93" s="65"/>
      <c r="AX93" s="65"/>
      <c r="AY93" s="65"/>
      <c r="AZ93" s="65"/>
      <c r="BA93" s="65"/>
      <c r="BB93" s="65"/>
      <c r="BC93" s="65"/>
      <c r="BD93" s="65"/>
      <c r="BE93" s="65"/>
      <c r="BF93" s="65"/>
      <c r="BG93" s="65"/>
      <c r="BH93" s="65"/>
      <c r="BI93" s="65"/>
      <c r="BJ93" s="65"/>
      <c r="BK93" s="65">
        <v>0</v>
      </c>
      <c r="BL93" s="65">
        <v>0</v>
      </c>
      <c r="BM93" s="65">
        <v>0</v>
      </c>
      <c r="BN93" s="65">
        <f t="shared" si="410"/>
        <v>4197</v>
      </c>
      <c r="BO93" s="67">
        <f t="shared" si="411"/>
        <v>0</v>
      </c>
      <c r="BP93" s="65">
        <f t="shared" si="412"/>
        <v>4197</v>
      </c>
      <c r="BQ93" s="65">
        <f t="shared" si="413"/>
        <v>9793</v>
      </c>
      <c r="BR93" s="65">
        <f t="shared" si="414"/>
        <v>0</v>
      </c>
      <c r="BS93" s="65">
        <f t="shared" si="415"/>
        <v>9793</v>
      </c>
      <c r="BT93" s="65">
        <f t="shared" si="416"/>
        <v>0</v>
      </c>
      <c r="BU93" s="65">
        <f t="shared" si="417"/>
        <v>4197</v>
      </c>
      <c r="BV93" s="65">
        <f t="shared" si="418"/>
        <v>9793</v>
      </c>
      <c r="BW93" s="65">
        <f t="shared" si="419"/>
        <v>13990</v>
      </c>
      <c r="BX93" s="6"/>
      <c r="BY93" s="6"/>
      <c r="BZ93" s="6"/>
      <c r="CA93" s="6"/>
      <c r="CB93" s="6"/>
      <c r="CC93" s="6"/>
      <c r="CD93" s="6"/>
      <c r="CE93" s="6"/>
      <c r="CF93" s="6"/>
      <c r="CG93" s="6"/>
    </row>
    <row r="94" spans="1:85" ht="15.75" customHeight="1">
      <c r="A94" s="185" t="s">
        <v>240</v>
      </c>
      <c r="B94" s="196"/>
      <c r="C94" s="68" t="s">
        <v>235</v>
      </c>
      <c r="D94" s="105" t="s">
        <v>241</v>
      </c>
      <c r="E94" s="192">
        <v>0</v>
      </c>
      <c r="F94" s="192">
        <v>0</v>
      </c>
      <c r="G94" s="58">
        <f t="shared" si="403"/>
        <v>0</v>
      </c>
      <c r="H94" s="192">
        <v>0</v>
      </c>
      <c r="I94" s="59">
        <f t="shared" si="267"/>
        <v>0</v>
      </c>
      <c r="J94" s="59">
        <f t="shared" si="268"/>
        <v>0</v>
      </c>
      <c r="K94" s="74">
        <f>1239.48+2065.8+1239.48</f>
        <v>4544.76</v>
      </c>
      <c r="L94" s="100">
        <v>0</v>
      </c>
      <c r="M94" s="74">
        <v>0</v>
      </c>
      <c r="N94" s="74">
        <v>0</v>
      </c>
      <c r="O94" s="63">
        <f t="shared" ref="O94:Q94" si="423">AA94+AD94+AG94+AJ94+AM94+AP94+AS94+AV94+AY94+BB94+BE94+BH94</f>
        <v>498.26</v>
      </c>
      <c r="P94" s="61">
        <f t="shared" si="423"/>
        <v>0</v>
      </c>
      <c r="Q94" s="61">
        <f t="shared" si="423"/>
        <v>0</v>
      </c>
      <c r="R94" s="61">
        <f t="shared" ref="R94:T94" si="424">IF(BK94=0,SUM(AA94+AD94+AG94+AJ94+AM94+AP94+AS94+AV94+AY94+BB94+BE94+BH94),BK94)</f>
        <v>498.26</v>
      </c>
      <c r="S94" s="61">
        <f t="shared" si="424"/>
        <v>0</v>
      </c>
      <c r="T94" s="61">
        <f t="shared" si="424"/>
        <v>0</v>
      </c>
      <c r="U94" s="62">
        <f t="shared" si="406"/>
        <v>4046.5</v>
      </c>
      <c r="V94" s="63">
        <f t="shared" si="407"/>
        <v>0</v>
      </c>
      <c r="W94" s="63">
        <f t="shared" si="408"/>
        <v>0</v>
      </c>
      <c r="X94" s="64">
        <f t="shared" ref="X94:Y94" si="425">IF(O94&gt;0,O94/K94,0)</f>
        <v>0.10963395206787596</v>
      </c>
      <c r="Y94" s="64">
        <f t="shared" si="425"/>
        <v>0</v>
      </c>
      <c r="Z94" s="64">
        <f t="shared" si="272"/>
        <v>0</v>
      </c>
      <c r="AA94" s="65"/>
      <c r="AB94" s="65"/>
      <c r="AC94" s="65"/>
      <c r="AD94" s="65"/>
      <c r="AE94" s="113"/>
      <c r="AF94" s="66"/>
      <c r="AG94" s="66"/>
      <c r="AH94" s="113"/>
      <c r="AI94" s="65"/>
      <c r="AJ94" s="65"/>
      <c r="AK94" s="65"/>
      <c r="AL94" s="65"/>
      <c r="AM94" s="100">
        <v>86.1</v>
      </c>
      <c r="AN94" s="65"/>
      <c r="AO94" s="65"/>
      <c r="AP94" s="65">
        <f>412.16</f>
        <v>412.16</v>
      </c>
      <c r="AQ94" s="65"/>
      <c r="AR94" s="65"/>
      <c r="AS94" s="65"/>
      <c r="AT94" s="65"/>
      <c r="AU94" s="65"/>
      <c r="AV94" s="65"/>
      <c r="AW94" s="65"/>
      <c r="AX94" s="65"/>
      <c r="AY94" s="65"/>
      <c r="AZ94" s="65"/>
      <c r="BA94" s="65"/>
      <c r="BB94" s="65"/>
      <c r="BC94" s="65"/>
      <c r="BD94" s="65"/>
      <c r="BE94" s="65"/>
      <c r="BF94" s="65"/>
      <c r="BG94" s="65"/>
      <c r="BH94" s="65"/>
      <c r="BI94" s="65"/>
      <c r="BJ94" s="65"/>
      <c r="BK94" s="65">
        <v>0</v>
      </c>
      <c r="BL94" s="65">
        <v>0</v>
      </c>
      <c r="BM94" s="65">
        <v>0</v>
      </c>
      <c r="BN94" s="65">
        <f t="shared" si="410"/>
        <v>498.26</v>
      </c>
      <c r="BO94" s="67">
        <f t="shared" si="411"/>
        <v>0</v>
      </c>
      <c r="BP94" s="65">
        <f t="shared" si="412"/>
        <v>498.26</v>
      </c>
      <c r="BQ94" s="65">
        <f t="shared" si="413"/>
        <v>4046.5</v>
      </c>
      <c r="BR94" s="65">
        <f t="shared" si="414"/>
        <v>0</v>
      </c>
      <c r="BS94" s="65">
        <f t="shared" si="415"/>
        <v>4046.5</v>
      </c>
      <c r="BT94" s="65">
        <f t="shared" si="416"/>
        <v>0</v>
      </c>
      <c r="BU94" s="65">
        <f t="shared" si="417"/>
        <v>498.26</v>
      </c>
      <c r="BV94" s="65">
        <f t="shared" si="418"/>
        <v>4046.5</v>
      </c>
      <c r="BW94" s="65">
        <f t="shared" si="419"/>
        <v>4544.76</v>
      </c>
      <c r="BX94" s="6"/>
      <c r="BY94" s="6"/>
      <c r="BZ94" s="6"/>
      <c r="CA94" s="6"/>
      <c r="CB94" s="6"/>
      <c r="CC94" s="6"/>
      <c r="CD94" s="6"/>
      <c r="CE94" s="6"/>
      <c r="CF94" s="6"/>
      <c r="CG94" s="6"/>
    </row>
    <row r="95" spans="1:85" ht="15.75" customHeight="1">
      <c r="A95" s="196"/>
      <c r="B95" s="196" t="s">
        <v>242</v>
      </c>
      <c r="C95" s="189" t="s">
        <v>243</v>
      </c>
      <c r="D95" s="190" t="s">
        <v>244</v>
      </c>
      <c r="E95" s="56">
        <v>35000</v>
      </c>
      <c r="F95" s="57">
        <v>0</v>
      </c>
      <c r="G95" s="58">
        <f t="shared" si="403"/>
        <v>35000</v>
      </c>
      <c r="H95" s="57">
        <v>0</v>
      </c>
      <c r="I95" s="59">
        <f t="shared" si="267"/>
        <v>0</v>
      </c>
      <c r="J95" s="59">
        <f t="shared" si="268"/>
        <v>0</v>
      </c>
      <c r="K95" s="74">
        <v>0</v>
      </c>
      <c r="L95" s="100">
        <v>3049.74</v>
      </c>
      <c r="M95" s="74">
        <v>0</v>
      </c>
      <c r="N95" s="74">
        <v>0</v>
      </c>
      <c r="O95" s="61">
        <f t="shared" ref="O95:Q95" si="426">AA95+AD95+AG95+AJ95+AM95+AP95+AS95+AV95+AY95+BB95+BE95+BH95</f>
        <v>0</v>
      </c>
      <c r="P95" s="61">
        <f t="shared" si="426"/>
        <v>3049.7400000000002</v>
      </c>
      <c r="Q95" s="61">
        <f t="shared" si="426"/>
        <v>0</v>
      </c>
      <c r="R95" s="61">
        <f t="shared" ref="R95:T95" si="427">IF(BK95=0,SUM(AA95+AD95+AG95+AJ95+AM95+AP95+AS95+AV95+AY95+BB95+BE95+BH95),BK95)</f>
        <v>0</v>
      </c>
      <c r="S95" s="61">
        <f t="shared" si="427"/>
        <v>3049.7400000000002</v>
      </c>
      <c r="T95" s="61">
        <f t="shared" si="427"/>
        <v>0</v>
      </c>
      <c r="U95" s="63">
        <f t="shared" si="406"/>
        <v>0</v>
      </c>
      <c r="V95" s="63">
        <f t="shared" si="407"/>
        <v>0</v>
      </c>
      <c r="W95" s="63">
        <f t="shared" si="408"/>
        <v>0</v>
      </c>
      <c r="X95" s="64">
        <f t="shared" ref="X95:Y95" si="428">IF(O95&gt;0,O95/K95,0)</f>
        <v>0</v>
      </c>
      <c r="Y95" s="64">
        <f t="shared" si="428"/>
        <v>1.0000000000000002</v>
      </c>
      <c r="Z95" s="64">
        <f t="shared" si="272"/>
        <v>0</v>
      </c>
      <c r="AA95" s="65"/>
      <c r="AB95" s="65"/>
      <c r="AC95" s="65"/>
      <c r="AD95" s="65"/>
      <c r="AE95" s="113">
        <v>2695.94</v>
      </c>
      <c r="AF95" s="66"/>
      <c r="AG95" s="66"/>
      <c r="AH95" s="113">
        <v>353.8</v>
      </c>
      <c r="AI95" s="65"/>
      <c r="AJ95" s="65"/>
      <c r="AK95" s="65"/>
      <c r="AL95" s="65"/>
      <c r="AM95" s="65"/>
      <c r="AN95" s="65"/>
      <c r="AO95" s="65"/>
      <c r="AP95" s="65"/>
      <c r="AQ95" s="65"/>
      <c r="AR95" s="65"/>
      <c r="AS95" s="65"/>
      <c r="AT95" s="65"/>
      <c r="AU95" s="65"/>
      <c r="AV95" s="65"/>
      <c r="AW95" s="65"/>
      <c r="AX95" s="65"/>
      <c r="AY95" s="65"/>
      <c r="AZ95" s="65"/>
      <c r="BA95" s="65"/>
      <c r="BB95" s="65"/>
      <c r="BC95" s="65"/>
      <c r="BD95" s="65"/>
      <c r="BE95" s="65"/>
      <c r="BF95" s="65"/>
      <c r="BG95" s="65"/>
      <c r="BH95" s="65"/>
      <c r="BI95" s="65"/>
      <c r="BJ95" s="65"/>
      <c r="BK95" s="65">
        <v>0</v>
      </c>
      <c r="BL95" s="65">
        <v>0</v>
      </c>
      <c r="BM95" s="65">
        <v>0</v>
      </c>
      <c r="BN95" s="65">
        <f t="shared" si="410"/>
        <v>0</v>
      </c>
      <c r="BO95" s="67">
        <f t="shared" si="411"/>
        <v>0</v>
      </c>
      <c r="BP95" s="65">
        <f t="shared" si="412"/>
        <v>0</v>
      </c>
      <c r="BQ95" s="65">
        <f t="shared" si="413"/>
        <v>0</v>
      </c>
      <c r="BR95" s="65">
        <f t="shared" si="414"/>
        <v>0</v>
      </c>
      <c r="BS95" s="65">
        <f t="shared" si="415"/>
        <v>0</v>
      </c>
      <c r="BT95" s="65">
        <f t="shared" si="416"/>
        <v>0</v>
      </c>
      <c r="BU95" s="65">
        <f t="shared" si="417"/>
        <v>0</v>
      </c>
      <c r="BV95" s="65">
        <f t="shared" si="418"/>
        <v>0</v>
      </c>
      <c r="BW95" s="65">
        <f t="shared" si="419"/>
        <v>0</v>
      </c>
      <c r="BX95" s="6"/>
      <c r="BY95" s="6"/>
      <c r="BZ95" s="6"/>
      <c r="CA95" s="6"/>
      <c r="CB95" s="6"/>
      <c r="CC95" s="6"/>
      <c r="CD95" s="6"/>
      <c r="CE95" s="6"/>
      <c r="CF95" s="6"/>
      <c r="CG95" s="6"/>
    </row>
    <row r="96" spans="1:85" ht="15.75" customHeight="1">
      <c r="A96" s="71"/>
      <c r="B96" s="72"/>
      <c r="C96" s="197" t="s">
        <v>245</v>
      </c>
      <c r="D96" s="198" t="s">
        <v>246</v>
      </c>
      <c r="E96" s="57">
        <v>0</v>
      </c>
      <c r="F96" s="57">
        <v>0</v>
      </c>
      <c r="G96" s="58">
        <f t="shared" si="403"/>
        <v>0</v>
      </c>
      <c r="H96" s="57">
        <v>0</v>
      </c>
      <c r="I96" s="59">
        <f t="shared" si="267"/>
        <v>0</v>
      </c>
      <c r="J96" s="59">
        <f t="shared" si="268"/>
        <v>0</v>
      </c>
      <c r="K96" s="74">
        <v>0</v>
      </c>
      <c r="L96" s="74">
        <v>0</v>
      </c>
      <c r="M96" s="74">
        <v>0</v>
      </c>
      <c r="N96" s="74">
        <v>0</v>
      </c>
      <c r="O96" s="61">
        <f t="shared" ref="O96:Q96" si="429">AA96+AD96+AG96+AJ96+AM96+AP96+AS96+AV96+AY96+BB96+BE96+BH96</f>
        <v>0</v>
      </c>
      <c r="P96" s="61">
        <f t="shared" si="429"/>
        <v>0</v>
      </c>
      <c r="Q96" s="61">
        <f t="shared" si="429"/>
        <v>0</v>
      </c>
      <c r="R96" s="61">
        <f t="shared" ref="R96:T96" si="430">IF(BK96=0,SUM(AA96+AD96+AG96+AJ96+AM96+AP96+AS96+AV96+AY96+BB96+BE96+BH96),BK96)</f>
        <v>0</v>
      </c>
      <c r="S96" s="61">
        <f t="shared" si="430"/>
        <v>0</v>
      </c>
      <c r="T96" s="61">
        <f t="shared" si="430"/>
        <v>0</v>
      </c>
      <c r="U96" s="63">
        <f t="shared" si="406"/>
        <v>0</v>
      </c>
      <c r="V96" s="63">
        <f t="shared" si="407"/>
        <v>0</v>
      </c>
      <c r="W96" s="63">
        <f t="shared" si="408"/>
        <v>0</v>
      </c>
      <c r="X96" s="64">
        <f t="shared" ref="X96:Y96" si="431">IF(O96&gt;0,O96/K96,0)</f>
        <v>0</v>
      </c>
      <c r="Y96" s="64">
        <f t="shared" si="431"/>
        <v>0</v>
      </c>
      <c r="Z96" s="64">
        <f t="shared" si="272"/>
        <v>0</v>
      </c>
      <c r="AA96" s="65"/>
      <c r="AB96" s="65"/>
      <c r="AC96" s="65"/>
      <c r="AD96" s="65"/>
      <c r="AE96" s="66"/>
      <c r="AF96" s="66"/>
      <c r="AG96" s="66"/>
      <c r="AH96" s="66"/>
      <c r="AI96" s="65"/>
      <c r="AJ96" s="65"/>
      <c r="AK96" s="65"/>
      <c r="AL96" s="65"/>
      <c r="AM96" s="65"/>
      <c r="AN96" s="65"/>
      <c r="AO96" s="65"/>
      <c r="AP96" s="65"/>
      <c r="AQ96" s="65"/>
      <c r="AR96" s="65"/>
      <c r="AS96" s="65"/>
      <c r="AT96" s="65"/>
      <c r="AU96" s="65"/>
      <c r="AV96" s="65"/>
      <c r="AW96" s="65"/>
      <c r="AX96" s="65"/>
      <c r="AY96" s="65"/>
      <c r="AZ96" s="65"/>
      <c r="BA96" s="65"/>
      <c r="BB96" s="65"/>
      <c r="BC96" s="65"/>
      <c r="BD96" s="65"/>
      <c r="BE96" s="65"/>
      <c r="BF96" s="65"/>
      <c r="BG96" s="65"/>
      <c r="BH96" s="65"/>
      <c r="BI96" s="65"/>
      <c r="BJ96" s="65"/>
      <c r="BK96" s="65">
        <v>0</v>
      </c>
      <c r="BL96" s="65">
        <v>0</v>
      </c>
      <c r="BM96" s="65">
        <v>0</v>
      </c>
      <c r="BN96" s="65">
        <f t="shared" si="410"/>
        <v>0</v>
      </c>
      <c r="BO96" s="67">
        <f t="shared" si="411"/>
        <v>0</v>
      </c>
      <c r="BP96" s="65">
        <f t="shared" si="412"/>
        <v>0</v>
      </c>
      <c r="BQ96" s="65">
        <f t="shared" si="413"/>
        <v>0</v>
      </c>
      <c r="BR96" s="65">
        <f t="shared" si="414"/>
        <v>0</v>
      </c>
      <c r="BS96" s="65">
        <f t="shared" si="415"/>
        <v>0</v>
      </c>
      <c r="BT96" s="65">
        <f t="shared" si="416"/>
        <v>0</v>
      </c>
      <c r="BU96" s="65">
        <f t="shared" si="417"/>
        <v>0</v>
      </c>
      <c r="BV96" s="65">
        <f t="shared" si="418"/>
        <v>0</v>
      </c>
      <c r="BW96" s="65">
        <f t="shared" si="419"/>
        <v>0</v>
      </c>
      <c r="BX96" s="6"/>
      <c r="BY96" s="6"/>
      <c r="BZ96" s="6"/>
      <c r="CA96" s="6"/>
      <c r="CB96" s="6"/>
      <c r="CC96" s="6"/>
      <c r="CD96" s="6"/>
      <c r="CE96" s="6"/>
      <c r="CF96" s="6"/>
      <c r="CG96" s="6"/>
    </row>
    <row r="97" spans="1:85" ht="15.75">
      <c r="A97" s="75"/>
      <c r="B97" s="77"/>
      <c r="C97" s="77"/>
      <c r="D97" s="101" t="s">
        <v>247</v>
      </c>
      <c r="E97" s="45">
        <f t="shared" ref="E97:H97" si="432">SUM(E98:E102)</f>
        <v>5000</v>
      </c>
      <c r="F97" s="46">
        <f t="shared" si="432"/>
        <v>0</v>
      </c>
      <c r="G97" s="46">
        <f t="shared" si="432"/>
        <v>5000</v>
      </c>
      <c r="H97" s="46">
        <f t="shared" si="432"/>
        <v>0</v>
      </c>
      <c r="I97" s="96">
        <f t="shared" si="267"/>
        <v>0.51379600000000003</v>
      </c>
      <c r="J97" s="96">
        <f t="shared" si="268"/>
        <v>9.3465999999999994E-2</v>
      </c>
      <c r="K97" s="46">
        <f t="shared" ref="K97:W97" si="433">SUM(K98:K102)</f>
        <v>2568.98</v>
      </c>
      <c r="L97" s="46">
        <f t="shared" si="433"/>
        <v>490.41</v>
      </c>
      <c r="M97" s="46">
        <f t="shared" si="433"/>
        <v>0</v>
      </c>
      <c r="N97" s="46">
        <f t="shared" si="433"/>
        <v>0</v>
      </c>
      <c r="O97" s="46">
        <f t="shared" si="433"/>
        <v>467.33</v>
      </c>
      <c r="P97" s="46">
        <f t="shared" si="433"/>
        <v>490.41</v>
      </c>
      <c r="Q97" s="46">
        <f t="shared" si="433"/>
        <v>0</v>
      </c>
      <c r="R97" s="46">
        <f t="shared" si="433"/>
        <v>467.33</v>
      </c>
      <c r="S97" s="46">
        <f t="shared" si="433"/>
        <v>490.41</v>
      </c>
      <c r="T97" s="46">
        <f t="shared" si="433"/>
        <v>0</v>
      </c>
      <c r="U97" s="46">
        <f t="shared" si="433"/>
        <v>2101.65</v>
      </c>
      <c r="V97" s="46">
        <f t="shared" si="433"/>
        <v>0</v>
      </c>
      <c r="W97" s="46">
        <f t="shared" si="433"/>
        <v>0</v>
      </c>
      <c r="X97" s="97">
        <f t="shared" ref="X97:Y97" si="434">IF(O97&gt;0,O97/K97,0)</f>
        <v>0.18191266572725362</v>
      </c>
      <c r="Y97" s="97">
        <f t="shared" si="434"/>
        <v>1</v>
      </c>
      <c r="Z97" s="97">
        <f t="shared" si="272"/>
        <v>0</v>
      </c>
      <c r="AA97" s="46">
        <f t="shared" ref="AA97:BW97" si="435">SUM(AA98:AA102)</f>
        <v>0</v>
      </c>
      <c r="AB97" s="46">
        <f t="shared" si="435"/>
        <v>82.17</v>
      </c>
      <c r="AC97" s="46">
        <f t="shared" si="435"/>
        <v>0</v>
      </c>
      <c r="AD97" s="46">
        <f t="shared" si="435"/>
        <v>0</v>
      </c>
      <c r="AE97" s="46">
        <f t="shared" si="435"/>
        <v>0</v>
      </c>
      <c r="AF97" s="46">
        <f t="shared" si="435"/>
        <v>0</v>
      </c>
      <c r="AG97" s="46">
        <f t="shared" si="435"/>
        <v>3.63</v>
      </c>
      <c r="AH97" s="46">
        <f t="shared" si="435"/>
        <v>253.74</v>
      </c>
      <c r="AI97" s="46">
        <f t="shared" si="435"/>
        <v>0</v>
      </c>
      <c r="AJ97" s="46">
        <f t="shared" si="435"/>
        <v>14.74</v>
      </c>
      <c r="AK97" s="46">
        <f t="shared" si="435"/>
        <v>154.5</v>
      </c>
      <c r="AL97" s="46">
        <f t="shared" si="435"/>
        <v>0</v>
      </c>
      <c r="AM97" s="46">
        <f t="shared" si="435"/>
        <v>110.52</v>
      </c>
      <c r="AN97" s="46">
        <f t="shared" si="435"/>
        <v>0</v>
      </c>
      <c r="AO97" s="46">
        <f t="shared" si="435"/>
        <v>0</v>
      </c>
      <c r="AP97" s="46">
        <f t="shared" si="435"/>
        <v>338.44</v>
      </c>
      <c r="AQ97" s="46">
        <f t="shared" si="435"/>
        <v>0</v>
      </c>
      <c r="AR97" s="46">
        <f t="shared" si="435"/>
        <v>0</v>
      </c>
      <c r="AS97" s="46">
        <f t="shared" si="435"/>
        <v>0</v>
      </c>
      <c r="AT97" s="46">
        <f t="shared" si="435"/>
        <v>0</v>
      </c>
      <c r="AU97" s="46">
        <f t="shared" si="435"/>
        <v>0</v>
      </c>
      <c r="AV97" s="46">
        <f t="shared" si="435"/>
        <v>0</v>
      </c>
      <c r="AW97" s="46">
        <f t="shared" si="435"/>
        <v>0</v>
      </c>
      <c r="AX97" s="46">
        <f t="shared" si="435"/>
        <v>0</v>
      </c>
      <c r="AY97" s="46">
        <f t="shared" si="435"/>
        <v>0</v>
      </c>
      <c r="AZ97" s="46">
        <f t="shared" si="435"/>
        <v>0</v>
      </c>
      <c r="BA97" s="46">
        <f t="shared" si="435"/>
        <v>0</v>
      </c>
      <c r="BB97" s="46">
        <f t="shared" si="435"/>
        <v>0</v>
      </c>
      <c r="BC97" s="46">
        <f t="shared" si="435"/>
        <v>0</v>
      </c>
      <c r="BD97" s="46">
        <f t="shared" si="435"/>
        <v>0</v>
      </c>
      <c r="BE97" s="46">
        <f t="shared" si="435"/>
        <v>0</v>
      </c>
      <c r="BF97" s="46">
        <f t="shared" si="435"/>
        <v>0</v>
      </c>
      <c r="BG97" s="46">
        <f t="shared" si="435"/>
        <v>0</v>
      </c>
      <c r="BH97" s="46">
        <f t="shared" si="435"/>
        <v>0</v>
      </c>
      <c r="BI97" s="46">
        <f t="shared" si="435"/>
        <v>0</v>
      </c>
      <c r="BJ97" s="46">
        <f t="shared" si="435"/>
        <v>0</v>
      </c>
      <c r="BK97" s="46">
        <f t="shared" si="435"/>
        <v>0</v>
      </c>
      <c r="BL97" s="46">
        <f t="shared" si="435"/>
        <v>0</v>
      </c>
      <c r="BM97" s="46">
        <f t="shared" si="435"/>
        <v>0</v>
      </c>
      <c r="BN97" s="46">
        <f t="shared" si="435"/>
        <v>447.37</v>
      </c>
      <c r="BO97" s="46">
        <f t="shared" si="435"/>
        <v>0</v>
      </c>
      <c r="BP97" s="46">
        <f t="shared" si="435"/>
        <v>447.37</v>
      </c>
      <c r="BQ97" s="46">
        <f t="shared" si="435"/>
        <v>2056.2600000000002</v>
      </c>
      <c r="BR97" s="46">
        <f t="shared" si="435"/>
        <v>0</v>
      </c>
      <c r="BS97" s="46">
        <f t="shared" si="435"/>
        <v>2056.2600000000002</v>
      </c>
      <c r="BT97" s="46">
        <f t="shared" si="435"/>
        <v>0</v>
      </c>
      <c r="BU97" s="46">
        <f t="shared" si="435"/>
        <v>447.37</v>
      </c>
      <c r="BV97" s="46">
        <f t="shared" si="435"/>
        <v>2056.2600000000002</v>
      </c>
      <c r="BW97" s="46">
        <f t="shared" si="435"/>
        <v>2503.63</v>
      </c>
      <c r="BX97" s="98"/>
      <c r="BY97" s="98"/>
      <c r="BZ97" s="98"/>
      <c r="CA97" s="98"/>
      <c r="CB97" s="98"/>
      <c r="CC97" s="98"/>
      <c r="CD97" s="98"/>
      <c r="CE97" s="98"/>
      <c r="CF97" s="98"/>
      <c r="CG97" s="98"/>
    </row>
    <row r="98" spans="1:85" ht="15.75" customHeight="1">
      <c r="A98" s="185" t="s">
        <v>248</v>
      </c>
      <c r="B98" s="195" t="s">
        <v>249</v>
      </c>
      <c r="C98" s="54" t="s">
        <v>250</v>
      </c>
      <c r="D98" s="55" t="s">
        <v>251</v>
      </c>
      <c r="E98" s="199">
        <v>5000</v>
      </c>
      <c r="F98" s="187">
        <v>0</v>
      </c>
      <c r="G98" s="58">
        <f t="shared" ref="G98:G102" si="436">E98-F98</f>
        <v>5000</v>
      </c>
      <c r="H98" s="187">
        <v>0</v>
      </c>
      <c r="I98" s="59">
        <f t="shared" si="267"/>
        <v>0.5</v>
      </c>
      <c r="J98" s="59">
        <f t="shared" si="268"/>
        <v>8.8748000000000007E-2</v>
      </c>
      <c r="K98" s="60">
        <f>500+2000</f>
        <v>2500</v>
      </c>
      <c r="L98" s="100">
        <v>490.41</v>
      </c>
      <c r="M98" s="100">
        <v>0</v>
      </c>
      <c r="N98" s="60">
        <v>0</v>
      </c>
      <c r="O98" s="63">
        <f t="shared" ref="O98:Q98" si="437">AA98+AD98+AG98+AJ98+AM98+AP98+AS98+AV98+AY98+BB98+BE98+BH98</f>
        <v>443.74</v>
      </c>
      <c r="P98" s="61">
        <f t="shared" si="437"/>
        <v>490.41</v>
      </c>
      <c r="Q98" s="61">
        <f t="shared" si="437"/>
        <v>0</v>
      </c>
      <c r="R98" s="61">
        <f t="shared" ref="R98:T98" si="438">IF(BK98=0,SUM(AA98+AD98+AG98+AJ98+AM98+AP98+AS98+AV98+AY98+BB98+BE98+BH98),BK98)</f>
        <v>443.74</v>
      </c>
      <c r="S98" s="61">
        <f t="shared" si="438"/>
        <v>490.41</v>
      </c>
      <c r="T98" s="61">
        <f t="shared" si="438"/>
        <v>0</v>
      </c>
      <c r="U98" s="62">
        <f t="shared" ref="U98:U102" si="439">K98-O98</f>
        <v>2056.2600000000002</v>
      </c>
      <c r="V98" s="63">
        <f t="shared" ref="V98:V102" si="440">L98-M98-S98</f>
        <v>0</v>
      </c>
      <c r="W98" s="63">
        <f t="shared" ref="W98:W102" si="441">N98-Q98</f>
        <v>0</v>
      </c>
      <c r="X98" s="64">
        <f t="shared" ref="X98:Y98" si="442">IF(O98&gt;0,O98/K98,0)</f>
        <v>0.17749600000000001</v>
      </c>
      <c r="Y98" s="64">
        <f t="shared" si="442"/>
        <v>1</v>
      </c>
      <c r="Z98" s="64">
        <f t="shared" si="272"/>
        <v>0</v>
      </c>
      <c r="AA98" s="65"/>
      <c r="AB98" s="100">
        <v>82.17</v>
      </c>
      <c r="AC98" s="65"/>
      <c r="AD98" s="65"/>
      <c r="AE98" s="66"/>
      <c r="AF98" s="66"/>
      <c r="AG98" s="66"/>
      <c r="AH98" s="65">
        <f>251.36+2.38</f>
        <v>253.74</v>
      </c>
      <c r="AI98" s="65"/>
      <c r="AJ98" s="100">
        <v>14.74</v>
      </c>
      <c r="AK98" s="100">
        <v>154.5</v>
      </c>
      <c r="AL98" s="65"/>
      <c r="AM98" s="65">
        <f>110.52</f>
        <v>110.52</v>
      </c>
      <c r="AN98" s="65"/>
      <c r="AO98" s="65"/>
      <c r="AP98" s="65">
        <f>318.48</f>
        <v>318.48</v>
      </c>
      <c r="AQ98" s="65"/>
      <c r="AR98" s="65"/>
      <c r="AS98" s="65"/>
      <c r="AT98" s="65"/>
      <c r="AU98" s="65"/>
      <c r="AV98" s="65"/>
      <c r="AW98" s="65"/>
      <c r="AX98" s="65"/>
      <c r="AY98" s="65"/>
      <c r="AZ98" s="65"/>
      <c r="BA98" s="65"/>
      <c r="BB98" s="65"/>
      <c r="BC98" s="65"/>
      <c r="BD98" s="65"/>
      <c r="BE98" s="65"/>
      <c r="BF98" s="65"/>
      <c r="BG98" s="65"/>
      <c r="BH98" s="65"/>
      <c r="BI98" s="65"/>
      <c r="BJ98" s="65"/>
      <c r="BK98" s="65">
        <v>0</v>
      </c>
      <c r="BL98" s="65">
        <v>0</v>
      </c>
      <c r="BM98" s="65">
        <v>0</v>
      </c>
      <c r="BN98" s="65">
        <f t="shared" ref="BN98:BN100" si="443">IF(O98-BK98&gt;0,O98-BK98,0)</f>
        <v>443.74</v>
      </c>
      <c r="BO98" s="67">
        <f t="shared" ref="BO98:BO100" si="444">IF(Q98-BM98&gt;0,Q98-BM98,0)</f>
        <v>0</v>
      </c>
      <c r="BP98" s="65">
        <f t="shared" ref="BP98:BP100" si="445">IF(BN98+BO98&gt;0,BN98+BO98,0)</f>
        <v>443.74</v>
      </c>
      <c r="BQ98" s="65">
        <f t="shared" ref="BQ98:BQ100" si="446">IF(U98=0,0,U98)</f>
        <v>2056.2600000000002</v>
      </c>
      <c r="BR98" s="65">
        <f t="shared" ref="BR98:BR100" si="447">IF(W98=0,0,W98)</f>
        <v>0</v>
      </c>
      <c r="BS98" s="65">
        <f t="shared" ref="BS98:BS100" si="448">IF(BQ98+BR98&gt;0,BQ98+BR98,0)</f>
        <v>2056.2600000000002</v>
      </c>
      <c r="BT98" s="65">
        <f t="shared" ref="BT98:BT100" si="449">IF(V98&gt;0,V98,0)</f>
        <v>0</v>
      </c>
      <c r="BU98" s="65">
        <f t="shared" ref="BU98:BU100" si="450">IF(BP98=0,0,BP98)</f>
        <v>443.74</v>
      </c>
      <c r="BV98" s="65">
        <f t="shared" ref="BV98:BV100" si="451">IF(BS98=0,0,BS98)</f>
        <v>2056.2600000000002</v>
      </c>
      <c r="BW98" s="65">
        <f t="shared" ref="BW98:BW100" si="452">IF(BP98+BT98+BV98&gt;0,BP98+BT98+BV98,0)</f>
        <v>2500</v>
      </c>
      <c r="BX98" s="6"/>
      <c r="BY98" s="6"/>
      <c r="BZ98" s="6"/>
      <c r="CA98" s="6"/>
      <c r="CB98" s="6"/>
      <c r="CC98" s="6"/>
      <c r="CD98" s="6"/>
      <c r="CE98" s="6"/>
      <c r="CF98" s="6"/>
      <c r="CG98" s="6"/>
    </row>
    <row r="99" spans="1:85" ht="15.75" customHeight="1">
      <c r="A99" s="121"/>
      <c r="B99" s="168"/>
      <c r="C99" s="68" t="s">
        <v>252</v>
      </c>
      <c r="D99" s="70" t="s">
        <v>253</v>
      </c>
      <c r="E99" s="192">
        <v>0</v>
      </c>
      <c r="F99" s="192">
        <v>0</v>
      </c>
      <c r="G99" s="58">
        <f t="shared" si="436"/>
        <v>0</v>
      </c>
      <c r="H99" s="192">
        <v>0</v>
      </c>
      <c r="I99" s="59">
        <f t="shared" si="267"/>
        <v>0</v>
      </c>
      <c r="J99" s="59">
        <f t="shared" si="268"/>
        <v>0</v>
      </c>
      <c r="K99" s="74">
        <v>0</v>
      </c>
      <c r="L99" s="74">
        <v>0</v>
      </c>
      <c r="M99" s="74">
        <v>0</v>
      </c>
      <c r="N99" s="74">
        <v>0</v>
      </c>
      <c r="O99" s="61">
        <f t="shared" ref="O99:Q99" si="453">AA99+AD99+AG99+AJ99+AM99+AP99+AS99+AV99+AY99+BB99+BE99+BH99</f>
        <v>0</v>
      </c>
      <c r="P99" s="61">
        <f t="shared" si="453"/>
        <v>0</v>
      </c>
      <c r="Q99" s="61">
        <f t="shared" si="453"/>
        <v>0</v>
      </c>
      <c r="R99" s="61">
        <f t="shared" ref="R99:T99" si="454">IF(BK99=0,SUM(AA99+AD99+AG99+AJ99+AM99+AP99+AS99+AV99+AY99+BB99+BE99+BH99),BK99)</f>
        <v>0</v>
      </c>
      <c r="S99" s="61">
        <f t="shared" si="454"/>
        <v>0</v>
      </c>
      <c r="T99" s="61">
        <f t="shared" si="454"/>
        <v>0</v>
      </c>
      <c r="U99" s="63">
        <f t="shared" si="439"/>
        <v>0</v>
      </c>
      <c r="V99" s="63">
        <f t="shared" si="440"/>
        <v>0</v>
      </c>
      <c r="W99" s="63">
        <f t="shared" si="441"/>
        <v>0</v>
      </c>
      <c r="X99" s="64">
        <f t="shared" ref="X99:Y99" si="455">IF(O99&gt;0,O99/K99,0)</f>
        <v>0</v>
      </c>
      <c r="Y99" s="64">
        <f t="shared" si="455"/>
        <v>0</v>
      </c>
      <c r="Z99" s="64">
        <f t="shared" si="272"/>
        <v>0</v>
      </c>
      <c r="AA99" s="65"/>
      <c r="AB99" s="65"/>
      <c r="AC99" s="65"/>
      <c r="AD99" s="65"/>
      <c r="AE99" s="66"/>
      <c r="AF99" s="66"/>
      <c r="AG99" s="200"/>
      <c r="AH99" s="66"/>
      <c r="AI99" s="65"/>
      <c r="AJ99" s="65"/>
      <c r="AK99" s="65"/>
      <c r="AL99" s="65"/>
      <c r="AM99" s="65"/>
      <c r="AN99" s="65"/>
      <c r="AO99" s="65"/>
      <c r="AP99" s="65"/>
      <c r="AQ99" s="65"/>
      <c r="AR99" s="65"/>
      <c r="AS99" s="65"/>
      <c r="AT99" s="65"/>
      <c r="AU99" s="65"/>
      <c r="AV99" s="65"/>
      <c r="AW99" s="65"/>
      <c r="AX99" s="65"/>
      <c r="AY99" s="65"/>
      <c r="AZ99" s="65"/>
      <c r="BA99" s="65"/>
      <c r="BB99" s="65"/>
      <c r="BC99" s="65"/>
      <c r="BD99" s="65"/>
      <c r="BE99" s="65"/>
      <c r="BF99" s="65"/>
      <c r="BG99" s="65"/>
      <c r="BH99" s="65"/>
      <c r="BI99" s="65"/>
      <c r="BJ99" s="65"/>
      <c r="BK99" s="65">
        <v>0</v>
      </c>
      <c r="BL99" s="65">
        <v>0</v>
      </c>
      <c r="BM99" s="65">
        <v>0</v>
      </c>
      <c r="BN99" s="65">
        <f t="shared" si="443"/>
        <v>0</v>
      </c>
      <c r="BO99" s="67">
        <f t="shared" si="444"/>
        <v>0</v>
      </c>
      <c r="BP99" s="65">
        <f t="shared" si="445"/>
        <v>0</v>
      </c>
      <c r="BQ99" s="65">
        <f t="shared" si="446"/>
        <v>0</v>
      </c>
      <c r="BR99" s="65">
        <f t="shared" si="447"/>
        <v>0</v>
      </c>
      <c r="BS99" s="65">
        <f t="shared" si="448"/>
        <v>0</v>
      </c>
      <c r="BT99" s="65">
        <f t="shared" si="449"/>
        <v>0</v>
      </c>
      <c r="BU99" s="65">
        <f t="shared" si="450"/>
        <v>0</v>
      </c>
      <c r="BV99" s="65">
        <f t="shared" si="451"/>
        <v>0</v>
      </c>
      <c r="BW99" s="65">
        <f t="shared" si="452"/>
        <v>0</v>
      </c>
      <c r="BX99" s="6"/>
      <c r="BY99" s="6"/>
      <c r="BZ99" s="6"/>
      <c r="CA99" s="6"/>
      <c r="CB99" s="6"/>
      <c r="CC99" s="6"/>
      <c r="CD99" s="6"/>
      <c r="CE99" s="6"/>
      <c r="CF99" s="6"/>
      <c r="CG99" s="6"/>
    </row>
    <row r="100" spans="1:85" ht="15.75" customHeight="1">
      <c r="A100" s="121"/>
      <c r="B100" s="168"/>
      <c r="C100" s="68" t="s">
        <v>252</v>
      </c>
      <c r="D100" s="105" t="s">
        <v>254</v>
      </c>
      <c r="E100" s="57">
        <v>0</v>
      </c>
      <c r="F100" s="57">
        <v>0</v>
      </c>
      <c r="G100" s="58">
        <f t="shared" si="436"/>
        <v>0</v>
      </c>
      <c r="H100" s="57">
        <v>0</v>
      </c>
      <c r="I100" s="59">
        <f t="shared" si="267"/>
        <v>0</v>
      </c>
      <c r="J100" s="59">
        <f t="shared" si="268"/>
        <v>0</v>
      </c>
      <c r="K100" s="74">
        <v>0</v>
      </c>
      <c r="L100" s="74">
        <v>0</v>
      </c>
      <c r="M100" s="74">
        <v>0</v>
      </c>
      <c r="N100" s="74">
        <v>0</v>
      </c>
      <c r="O100" s="61">
        <f t="shared" ref="O100:Q100" si="456">AA100+AD100+AG100+AJ100+AM100+AP100+AS100+AV100+AY100+BB100+BE100+BH100</f>
        <v>0</v>
      </c>
      <c r="P100" s="61">
        <f t="shared" si="456"/>
        <v>0</v>
      </c>
      <c r="Q100" s="61">
        <f t="shared" si="456"/>
        <v>0</v>
      </c>
      <c r="R100" s="61">
        <f t="shared" ref="R100:T100" si="457">IF(BK100=0,SUM(AA100+AD100+AG100+AJ100+AM100+AP100+AS100+AV100+AY100+BB100+BE100+BH100),BK100)</f>
        <v>0</v>
      </c>
      <c r="S100" s="61">
        <f t="shared" si="457"/>
        <v>0</v>
      </c>
      <c r="T100" s="61">
        <f t="shared" si="457"/>
        <v>0</v>
      </c>
      <c r="U100" s="63">
        <f t="shared" si="439"/>
        <v>0</v>
      </c>
      <c r="V100" s="63">
        <f t="shared" si="440"/>
        <v>0</v>
      </c>
      <c r="W100" s="63">
        <f t="shared" si="441"/>
        <v>0</v>
      </c>
      <c r="X100" s="64">
        <f t="shared" ref="X100:Y100" si="458">IF(O100&gt;0,O100/K100,0)</f>
        <v>0</v>
      </c>
      <c r="Y100" s="64">
        <f t="shared" si="458"/>
        <v>0</v>
      </c>
      <c r="Z100" s="64">
        <f t="shared" si="272"/>
        <v>0</v>
      </c>
      <c r="AA100" s="65"/>
      <c r="AB100" s="65"/>
      <c r="AC100" s="65"/>
      <c r="AD100" s="65"/>
      <c r="AE100" s="66"/>
      <c r="AF100" s="66"/>
      <c r="AG100" s="200"/>
      <c r="AH100" s="66"/>
      <c r="AI100" s="65"/>
      <c r="AJ100" s="65"/>
      <c r="AK100" s="65"/>
      <c r="AL100" s="65"/>
      <c r="AM100" s="65"/>
      <c r="AN100" s="65"/>
      <c r="AO100" s="65"/>
      <c r="AP100" s="65"/>
      <c r="AQ100" s="65"/>
      <c r="AR100" s="65"/>
      <c r="AS100" s="65"/>
      <c r="AT100" s="65"/>
      <c r="AU100" s="65"/>
      <c r="AV100" s="65"/>
      <c r="AW100" s="65"/>
      <c r="AX100" s="65"/>
      <c r="AY100" s="65"/>
      <c r="AZ100" s="65"/>
      <c r="BA100" s="65"/>
      <c r="BB100" s="65"/>
      <c r="BC100" s="65"/>
      <c r="BD100" s="65"/>
      <c r="BE100" s="65"/>
      <c r="BF100" s="65"/>
      <c r="BG100" s="65"/>
      <c r="BH100" s="65"/>
      <c r="BI100" s="65"/>
      <c r="BJ100" s="65"/>
      <c r="BK100" s="65">
        <v>0</v>
      </c>
      <c r="BL100" s="65">
        <v>0</v>
      </c>
      <c r="BM100" s="65">
        <v>0</v>
      </c>
      <c r="BN100" s="65">
        <f t="shared" si="443"/>
        <v>0</v>
      </c>
      <c r="BO100" s="67">
        <f t="shared" si="444"/>
        <v>0</v>
      </c>
      <c r="BP100" s="65">
        <f t="shared" si="445"/>
        <v>0</v>
      </c>
      <c r="BQ100" s="65">
        <f t="shared" si="446"/>
        <v>0</v>
      </c>
      <c r="BR100" s="65">
        <f t="shared" si="447"/>
        <v>0</v>
      </c>
      <c r="BS100" s="65">
        <f t="shared" si="448"/>
        <v>0</v>
      </c>
      <c r="BT100" s="65">
        <f t="shared" si="449"/>
        <v>0</v>
      </c>
      <c r="BU100" s="65">
        <f t="shared" si="450"/>
        <v>0</v>
      </c>
      <c r="BV100" s="65">
        <f t="shared" si="451"/>
        <v>0</v>
      </c>
      <c r="BW100" s="65">
        <f t="shared" si="452"/>
        <v>0</v>
      </c>
      <c r="BX100" s="6"/>
      <c r="BY100" s="6"/>
      <c r="BZ100" s="6"/>
      <c r="CA100" s="6"/>
      <c r="CB100" s="6"/>
      <c r="CC100" s="6"/>
      <c r="CD100" s="6"/>
      <c r="CE100" s="6"/>
      <c r="CF100" s="6"/>
      <c r="CG100" s="6"/>
    </row>
    <row r="101" spans="1:85" ht="15.75" customHeight="1">
      <c r="A101" s="104" t="s">
        <v>255</v>
      </c>
      <c r="B101" s="201"/>
      <c r="C101" s="68" t="s">
        <v>252</v>
      </c>
      <c r="D101" s="202" t="s">
        <v>256</v>
      </c>
      <c r="E101" s="57">
        <v>0</v>
      </c>
      <c r="F101" s="57">
        <v>0</v>
      </c>
      <c r="G101" s="58">
        <f t="shared" si="436"/>
        <v>0</v>
      </c>
      <c r="H101" s="57">
        <v>0</v>
      </c>
      <c r="I101" s="59">
        <f t="shared" si="267"/>
        <v>0</v>
      </c>
      <c r="J101" s="59">
        <f t="shared" si="268"/>
        <v>0</v>
      </c>
      <c r="K101" s="74">
        <v>65.349999999999994</v>
      </c>
      <c r="L101" s="74">
        <v>0</v>
      </c>
      <c r="M101" s="74">
        <v>0</v>
      </c>
      <c r="N101" s="74">
        <v>0</v>
      </c>
      <c r="O101" s="61">
        <f t="shared" ref="O101:Q101" si="459">AA101+AD101+AG101+AJ101+AM101+AP101+AS101+AV101+AY101+BB101+BE101+BH101</f>
        <v>19.96</v>
      </c>
      <c r="P101" s="61">
        <f t="shared" si="459"/>
        <v>0</v>
      </c>
      <c r="Q101" s="61">
        <f t="shared" si="459"/>
        <v>0</v>
      </c>
      <c r="R101" s="61">
        <f t="shared" ref="R101:T101" si="460">IF(BK101=0,SUM(AA101+AD101+AG101+AJ101+AM101+AP101+AS101+AV101+AY101+BB101+BE101+BH101),BK101)</f>
        <v>19.96</v>
      </c>
      <c r="S101" s="61">
        <f t="shared" si="460"/>
        <v>0</v>
      </c>
      <c r="T101" s="61">
        <f t="shared" si="460"/>
        <v>0</v>
      </c>
      <c r="U101" s="62">
        <f t="shared" si="439"/>
        <v>45.389999999999993</v>
      </c>
      <c r="V101" s="63">
        <f t="shared" si="440"/>
        <v>0</v>
      </c>
      <c r="W101" s="63">
        <f t="shared" si="441"/>
        <v>0</v>
      </c>
      <c r="X101" s="64"/>
      <c r="Y101" s="64"/>
      <c r="Z101" s="64"/>
      <c r="AA101" s="65"/>
      <c r="AB101" s="65"/>
      <c r="AC101" s="65"/>
      <c r="AD101" s="65"/>
      <c r="AE101" s="66"/>
      <c r="AF101" s="66"/>
      <c r="AG101" s="113"/>
      <c r="AH101" s="66"/>
      <c r="AI101" s="65"/>
      <c r="AJ101" s="65"/>
      <c r="AK101" s="65"/>
      <c r="AL101" s="65"/>
      <c r="AM101" s="65"/>
      <c r="AN101" s="65"/>
      <c r="AO101" s="65"/>
      <c r="AP101" s="65">
        <f>0.01+15.34+4.61</f>
        <v>19.96</v>
      </c>
      <c r="AQ101" s="65"/>
      <c r="AR101" s="65"/>
      <c r="AS101" s="65"/>
      <c r="AT101" s="65"/>
      <c r="AU101" s="65"/>
      <c r="AV101" s="65"/>
      <c r="AW101" s="65"/>
      <c r="AX101" s="65"/>
      <c r="AY101" s="65"/>
      <c r="AZ101" s="65"/>
      <c r="BA101" s="65"/>
      <c r="BB101" s="65"/>
      <c r="BC101" s="65"/>
      <c r="BD101" s="65"/>
      <c r="BE101" s="65"/>
      <c r="BF101" s="65"/>
      <c r="BG101" s="65"/>
      <c r="BH101" s="65"/>
      <c r="BI101" s="65"/>
      <c r="BJ101" s="65"/>
      <c r="BK101" s="65"/>
      <c r="BL101" s="65"/>
      <c r="BM101" s="65"/>
      <c r="BN101" s="65"/>
      <c r="BO101" s="67"/>
      <c r="BP101" s="65"/>
      <c r="BQ101" s="65"/>
      <c r="BR101" s="65"/>
      <c r="BS101" s="65"/>
      <c r="BT101" s="65"/>
      <c r="BU101" s="65"/>
      <c r="BV101" s="65"/>
      <c r="BW101" s="65"/>
      <c r="BX101" s="6"/>
      <c r="BY101" s="6"/>
      <c r="BZ101" s="6"/>
      <c r="CA101" s="6"/>
      <c r="CB101" s="6"/>
      <c r="CC101" s="6"/>
      <c r="CD101" s="6"/>
      <c r="CE101" s="6"/>
      <c r="CF101" s="6"/>
      <c r="CG101" s="6"/>
    </row>
    <row r="102" spans="1:85" ht="15.75" customHeight="1">
      <c r="A102" s="79" t="s">
        <v>257</v>
      </c>
      <c r="B102" s="72"/>
      <c r="C102" s="203" t="s">
        <v>258</v>
      </c>
      <c r="D102" s="202" t="s">
        <v>259</v>
      </c>
      <c r="E102" s="57">
        <v>0</v>
      </c>
      <c r="F102" s="57">
        <v>0</v>
      </c>
      <c r="G102" s="58">
        <f t="shared" si="436"/>
        <v>0</v>
      </c>
      <c r="H102" s="57">
        <v>0</v>
      </c>
      <c r="I102" s="59">
        <f t="shared" si="267"/>
        <v>0</v>
      </c>
      <c r="J102" s="59">
        <f t="shared" si="268"/>
        <v>0</v>
      </c>
      <c r="K102" s="74">
        <v>3.63</v>
      </c>
      <c r="L102" s="74">
        <v>0</v>
      </c>
      <c r="M102" s="74">
        <v>0</v>
      </c>
      <c r="N102" s="74">
        <v>0</v>
      </c>
      <c r="O102" s="63">
        <f t="shared" ref="O102:Q102" si="461">AA102+AD102+AG102+AJ102+AM102+AP102+AS102+AV102+AY102+BB102+BE102+BH102</f>
        <v>3.63</v>
      </c>
      <c r="P102" s="61">
        <f t="shared" si="461"/>
        <v>0</v>
      </c>
      <c r="Q102" s="61">
        <f t="shared" si="461"/>
        <v>0</v>
      </c>
      <c r="R102" s="61">
        <f t="shared" ref="R102:T102" si="462">IF(BK102=0,SUM(AA102+AD102+AG102+AJ102+AM102+AP102+AS102+AV102+AY102+BB102+BE102+BH102),BK102)</f>
        <v>3.63</v>
      </c>
      <c r="S102" s="61">
        <f t="shared" si="462"/>
        <v>0</v>
      </c>
      <c r="T102" s="61">
        <f t="shared" si="462"/>
        <v>0</v>
      </c>
      <c r="U102" s="63">
        <f t="shared" si="439"/>
        <v>0</v>
      </c>
      <c r="V102" s="63">
        <f t="shared" si="440"/>
        <v>0</v>
      </c>
      <c r="W102" s="63">
        <f t="shared" si="441"/>
        <v>0</v>
      </c>
      <c r="X102" s="64">
        <f t="shared" ref="X102:Y102" si="463">IF(O102&gt;0,O102/K102,0)</f>
        <v>1</v>
      </c>
      <c r="Y102" s="64">
        <f t="shared" si="463"/>
        <v>0</v>
      </c>
      <c r="Z102" s="64">
        <f t="shared" ref="Z102:Z155" si="464">IF(Q102&gt;0,Q102/N102,0)</f>
        <v>0</v>
      </c>
      <c r="AA102" s="65"/>
      <c r="AB102" s="65"/>
      <c r="AC102" s="65"/>
      <c r="AD102" s="65"/>
      <c r="AE102" s="66"/>
      <c r="AF102" s="66"/>
      <c r="AG102" s="113">
        <v>3.63</v>
      </c>
      <c r="AH102" s="66"/>
      <c r="AI102" s="65"/>
      <c r="AJ102" s="65"/>
      <c r="AK102" s="65"/>
      <c r="AL102" s="65"/>
      <c r="AM102" s="65"/>
      <c r="AN102" s="65"/>
      <c r="AO102" s="65"/>
      <c r="AP102" s="65"/>
      <c r="AQ102" s="65"/>
      <c r="AR102" s="65"/>
      <c r="AS102" s="65"/>
      <c r="AT102" s="65"/>
      <c r="AU102" s="65"/>
      <c r="AV102" s="65"/>
      <c r="AW102" s="65"/>
      <c r="AX102" s="65"/>
      <c r="AY102" s="65"/>
      <c r="AZ102" s="65"/>
      <c r="BA102" s="65"/>
      <c r="BB102" s="65"/>
      <c r="BC102" s="65"/>
      <c r="BD102" s="65"/>
      <c r="BE102" s="65"/>
      <c r="BF102" s="65"/>
      <c r="BG102" s="65"/>
      <c r="BH102" s="65"/>
      <c r="BI102" s="65"/>
      <c r="BJ102" s="65"/>
      <c r="BK102" s="65">
        <v>0</v>
      </c>
      <c r="BL102" s="65">
        <v>0</v>
      </c>
      <c r="BM102" s="65">
        <v>0</v>
      </c>
      <c r="BN102" s="65">
        <f>IF(O102-BK102&gt;0,O102-BK102,0)</f>
        <v>3.63</v>
      </c>
      <c r="BO102" s="67">
        <f>IF(Q102-BM102&gt;0,Q102-BM102,0)</f>
        <v>0</v>
      </c>
      <c r="BP102" s="65">
        <f>IF(BN102+BO102&gt;0,BN102+BO102,0)</f>
        <v>3.63</v>
      </c>
      <c r="BQ102" s="65">
        <f>IF(U102=0,0,U102)</f>
        <v>0</v>
      </c>
      <c r="BR102" s="65">
        <f>IF(W102=0,0,W102)</f>
        <v>0</v>
      </c>
      <c r="BS102" s="65">
        <f>IF(BQ102+BR102&gt;0,BQ102+BR102,0)</f>
        <v>0</v>
      </c>
      <c r="BT102" s="65">
        <f>IF(V102&gt;0,V102,0)</f>
        <v>0</v>
      </c>
      <c r="BU102" s="65">
        <f>IF(BP102=0,0,BP102)</f>
        <v>3.63</v>
      </c>
      <c r="BV102" s="65">
        <f>IF(BS102=0,0,BS102)</f>
        <v>0</v>
      </c>
      <c r="BW102" s="65">
        <f>IF(BP102+BT102+BV102&gt;0,BP102+BT102+BV102,0)</f>
        <v>3.63</v>
      </c>
      <c r="BX102" s="6"/>
      <c r="BY102" s="6"/>
      <c r="BZ102" s="6"/>
      <c r="CA102" s="6"/>
      <c r="CB102" s="6"/>
      <c r="CC102" s="6"/>
      <c r="CD102" s="6"/>
      <c r="CE102" s="6"/>
      <c r="CF102" s="6"/>
      <c r="CG102" s="6"/>
    </row>
    <row r="103" spans="1:85" ht="15.75">
      <c r="A103" s="75"/>
      <c r="B103" s="76"/>
      <c r="C103" s="77"/>
      <c r="D103" s="78" t="s">
        <v>75</v>
      </c>
      <c r="E103" s="45">
        <f t="shared" ref="E103:H103" si="465">SUM(E104)</f>
        <v>0</v>
      </c>
      <c r="F103" s="46">
        <f t="shared" si="465"/>
        <v>0</v>
      </c>
      <c r="G103" s="46">
        <f t="shared" si="465"/>
        <v>0</v>
      </c>
      <c r="H103" s="46">
        <f t="shared" si="465"/>
        <v>0</v>
      </c>
      <c r="I103" s="47">
        <f t="shared" si="267"/>
        <v>0</v>
      </c>
      <c r="J103" s="47">
        <f t="shared" si="268"/>
        <v>0</v>
      </c>
      <c r="K103" s="46">
        <f t="shared" ref="K103:W103" si="466">SUM(K104)</f>
        <v>3500</v>
      </c>
      <c r="L103" s="46">
        <f t="shared" si="466"/>
        <v>0</v>
      </c>
      <c r="M103" s="46">
        <f t="shared" si="466"/>
        <v>0</v>
      </c>
      <c r="N103" s="46">
        <f t="shared" si="466"/>
        <v>0</v>
      </c>
      <c r="O103" s="46">
        <f t="shared" si="466"/>
        <v>2862.09</v>
      </c>
      <c r="P103" s="46">
        <f t="shared" si="466"/>
        <v>0</v>
      </c>
      <c r="Q103" s="46">
        <f t="shared" si="466"/>
        <v>0</v>
      </c>
      <c r="R103" s="46">
        <f t="shared" si="466"/>
        <v>2862.09</v>
      </c>
      <c r="S103" s="46">
        <f t="shared" si="466"/>
        <v>0</v>
      </c>
      <c r="T103" s="46">
        <f t="shared" si="466"/>
        <v>0</v>
      </c>
      <c r="U103" s="46">
        <f t="shared" si="466"/>
        <v>637.90999999999985</v>
      </c>
      <c r="V103" s="46">
        <f t="shared" si="466"/>
        <v>0</v>
      </c>
      <c r="W103" s="46">
        <f t="shared" si="466"/>
        <v>0</v>
      </c>
      <c r="X103" s="50">
        <f t="shared" ref="X103:Y103" si="467">IF(O103&gt;0,O103/K103,0)</f>
        <v>0.81774000000000002</v>
      </c>
      <c r="Y103" s="50">
        <f t="shared" si="467"/>
        <v>0</v>
      </c>
      <c r="Z103" s="50">
        <f t="shared" si="464"/>
        <v>0</v>
      </c>
      <c r="AA103" s="46">
        <f t="shared" ref="AA103:BW103" si="468">SUM(AA104)</f>
        <v>700</v>
      </c>
      <c r="AB103" s="46">
        <f t="shared" si="468"/>
        <v>0</v>
      </c>
      <c r="AC103" s="46">
        <f t="shared" si="468"/>
        <v>0</v>
      </c>
      <c r="AD103" s="46">
        <f t="shared" si="468"/>
        <v>0</v>
      </c>
      <c r="AE103" s="46">
        <f t="shared" si="468"/>
        <v>0</v>
      </c>
      <c r="AF103" s="46">
        <f t="shared" si="468"/>
        <v>0</v>
      </c>
      <c r="AG103" s="46">
        <f t="shared" si="468"/>
        <v>157</v>
      </c>
      <c r="AH103" s="46">
        <f t="shared" si="468"/>
        <v>0</v>
      </c>
      <c r="AI103" s="46">
        <f t="shared" si="468"/>
        <v>0</v>
      </c>
      <c r="AJ103" s="46">
        <f t="shared" si="468"/>
        <v>385</v>
      </c>
      <c r="AK103" s="46">
        <f t="shared" si="468"/>
        <v>0</v>
      </c>
      <c r="AL103" s="46">
        <f t="shared" si="468"/>
        <v>0</v>
      </c>
      <c r="AM103" s="46">
        <f t="shared" si="468"/>
        <v>563.33999999999992</v>
      </c>
      <c r="AN103" s="46">
        <f t="shared" si="468"/>
        <v>0</v>
      </c>
      <c r="AO103" s="46">
        <f t="shared" si="468"/>
        <v>0</v>
      </c>
      <c r="AP103" s="46">
        <f t="shared" si="468"/>
        <v>1056.75</v>
      </c>
      <c r="AQ103" s="46">
        <f t="shared" si="468"/>
        <v>0</v>
      </c>
      <c r="AR103" s="46">
        <f t="shared" si="468"/>
        <v>0</v>
      </c>
      <c r="AS103" s="46">
        <f t="shared" si="468"/>
        <v>0</v>
      </c>
      <c r="AT103" s="46">
        <f t="shared" si="468"/>
        <v>0</v>
      </c>
      <c r="AU103" s="46">
        <f t="shared" si="468"/>
        <v>0</v>
      </c>
      <c r="AV103" s="46">
        <f t="shared" si="468"/>
        <v>0</v>
      </c>
      <c r="AW103" s="46">
        <f t="shared" si="468"/>
        <v>0</v>
      </c>
      <c r="AX103" s="46">
        <f t="shared" si="468"/>
        <v>0</v>
      </c>
      <c r="AY103" s="46">
        <f t="shared" si="468"/>
        <v>0</v>
      </c>
      <c r="AZ103" s="46">
        <f t="shared" si="468"/>
        <v>0</v>
      </c>
      <c r="BA103" s="46">
        <f t="shared" si="468"/>
        <v>0</v>
      </c>
      <c r="BB103" s="46">
        <f t="shared" si="468"/>
        <v>0</v>
      </c>
      <c r="BC103" s="46">
        <f t="shared" si="468"/>
        <v>0</v>
      </c>
      <c r="BD103" s="46">
        <f t="shared" si="468"/>
        <v>0</v>
      </c>
      <c r="BE103" s="46">
        <f t="shared" si="468"/>
        <v>0</v>
      </c>
      <c r="BF103" s="46">
        <f t="shared" si="468"/>
        <v>0</v>
      </c>
      <c r="BG103" s="46">
        <f t="shared" si="468"/>
        <v>0</v>
      </c>
      <c r="BH103" s="46">
        <f t="shared" si="468"/>
        <v>0</v>
      </c>
      <c r="BI103" s="46">
        <f t="shared" si="468"/>
        <v>0</v>
      </c>
      <c r="BJ103" s="46">
        <f t="shared" si="468"/>
        <v>0</v>
      </c>
      <c r="BK103" s="46">
        <f t="shared" si="468"/>
        <v>0</v>
      </c>
      <c r="BL103" s="46">
        <f t="shared" si="468"/>
        <v>0</v>
      </c>
      <c r="BM103" s="46">
        <f t="shared" si="468"/>
        <v>0</v>
      </c>
      <c r="BN103" s="46">
        <f t="shared" si="468"/>
        <v>2862.09</v>
      </c>
      <c r="BO103" s="46">
        <f t="shared" si="468"/>
        <v>0</v>
      </c>
      <c r="BP103" s="46">
        <f t="shared" si="468"/>
        <v>2862.09</v>
      </c>
      <c r="BQ103" s="46">
        <f t="shared" si="468"/>
        <v>637.90999999999985</v>
      </c>
      <c r="BR103" s="46">
        <f t="shared" si="468"/>
        <v>0</v>
      </c>
      <c r="BS103" s="46">
        <f t="shared" si="468"/>
        <v>637.90999999999985</v>
      </c>
      <c r="BT103" s="46">
        <f t="shared" si="468"/>
        <v>0</v>
      </c>
      <c r="BU103" s="46">
        <f t="shared" si="468"/>
        <v>2862.09</v>
      </c>
      <c r="BV103" s="46">
        <f t="shared" si="468"/>
        <v>637.90999999999985</v>
      </c>
      <c r="BW103" s="46">
        <f t="shared" si="468"/>
        <v>3500</v>
      </c>
      <c r="BX103" s="51"/>
      <c r="BY103" s="51"/>
      <c r="BZ103" s="51"/>
      <c r="CA103" s="51"/>
      <c r="CB103" s="51"/>
      <c r="CC103" s="51"/>
      <c r="CD103" s="51"/>
      <c r="CE103" s="51"/>
      <c r="CF103" s="51"/>
      <c r="CG103" s="51"/>
    </row>
    <row r="104" spans="1:85" ht="15.75" customHeight="1">
      <c r="A104" s="79" t="s">
        <v>260</v>
      </c>
      <c r="B104" s="80"/>
      <c r="C104" s="81" t="s">
        <v>77</v>
      </c>
      <c r="D104" s="82" t="s">
        <v>78</v>
      </c>
      <c r="E104" s="57">
        <v>0</v>
      </c>
      <c r="F104" s="57">
        <v>0</v>
      </c>
      <c r="G104" s="58">
        <f>E104-F104</f>
        <v>0</v>
      </c>
      <c r="H104" s="57">
        <v>0</v>
      </c>
      <c r="I104" s="83">
        <f t="shared" si="267"/>
        <v>0</v>
      </c>
      <c r="J104" s="83">
        <f t="shared" si="268"/>
        <v>0</v>
      </c>
      <c r="K104" s="74">
        <f>1000+500+600+400+1000</f>
        <v>3500</v>
      </c>
      <c r="L104" s="74">
        <v>0</v>
      </c>
      <c r="M104" s="74">
        <v>0</v>
      </c>
      <c r="N104" s="74">
        <v>0</v>
      </c>
      <c r="O104" s="63">
        <f t="shared" ref="O104:Q104" si="469">AA104+AD104+AG104+AJ104+AM104+AP104+AS104+AV104+AY104+BB104+BE104+BH104</f>
        <v>2862.09</v>
      </c>
      <c r="P104" s="63">
        <f t="shared" si="469"/>
        <v>0</v>
      </c>
      <c r="Q104" s="63">
        <f t="shared" si="469"/>
        <v>0</v>
      </c>
      <c r="R104" s="63">
        <f t="shared" ref="R104:T104" si="470">IF(BK104=0,SUM(AA104+AD104+AG104+AJ104+AM104+AP104+AS104+AV104+AY104+BB104+BE104+BH104),BK104)</f>
        <v>2862.09</v>
      </c>
      <c r="S104" s="63">
        <f t="shared" si="470"/>
        <v>0</v>
      </c>
      <c r="T104" s="63">
        <f t="shared" si="470"/>
        <v>0</v>
      </c>
      <c r="U104" s="62">
        <f>K104-O104</f>
        <v>637.90999999999985</v>
      </c>
      <c r="V104" s="63">
        <f>L104-M104-S104</f>
        <v>0</v>
      </c>
      <c r="W104" s="63">
        <f>N104-Q104</f>
        <v>0</v>
      </c>
      <c r="X104" s="84">
        <f t="shared" ref="X104:Y104" si="471">IF(O104&gt;0,O104/K104,0)</f>
        <v>0.81774000000000002</v>
      </c>
      <c r="Y104" s="84">
        <f t="shared" si="471"/>
        <v>0</v>
      </c>
      <c r="Z104" s="84">
        <f t="shared" si="464"/>
        <v>0</v>
      </c>
      <c r="AA104" s="60">
        <v>700</v>
      </c>
      <c r="AB104" s="85"/>
      <c r="AC104" s="85"/>
      <c r="AD104" s="85"/>
      <c r="AE104" s="86"/>
      <c r="AF104" s="86"/>
      <c r="AG104" s="86">
        <f>157</f>
        <v>157</v>
      </c>
      <c r="AH104" s="86"/>
      <c r="AI104" s="85"/>
      <c r="AJ104" s="60">
        <v>385</v>
      </c>
      <c r="AK104" s="85"/>
      <c r="AL104" s="85"/>
      <c r="AM104" s="85">
        <f>120+443.34</f>
        <v>563.33999999999992</v>
      </c>
      <c r="AN104" s="85"/>
      <c r="AO104" s="85"/>
      <c r="AP104" s="85">
        <f>1056.75</f>
        <v>1056.75</v>
      </c>
      <c r="AQ104" s="85"/>
      <c r="AR104" s="85"/>
      <c r="AS104" s="85"/>
      <c r="AT104" s="85"/>
      <c r="AU104" s="85"/>
      <c r="AV104" s="85"/>
      <c r="AW104" s="85"/>
      <c r="AX104" s="85"/>
      <c r="AY104" s="85"/>
      <c r="AZ104" s="85"/>
      <c r="BA104" s="85"/>
      <c r="BB104" s="85"/>
      <c r="BC104" s="85"/>
      <c r="BD104" s="85"/>
      <c r="BE104" s="85"/>
      <c r="BF104" s="85"/>
      <c r="BG104" s="85"/>
      <c r="BH104" s="85"/>
      <c r="BI104" s="85"/>
      <c r="BJ104" s="85"/>
      <c r="BK104" s="65">
        <v>0</v>
      </c>
      <c r="BL104" s="65">
        <v>0</v>
      </c>
      <c r="BM104" s="65">
        <v>0</v>
      </c>
      <c r="BN104" s="65">
        <f>IF(O104-BK104&gt;0,O104-BK104,0)</f>
        <v>2862.09</v>
      </c>
      <c r="BO104" s="67">
        <f>IF(Q104-BM104&gt;0,Q104-BM104,0)</f>
        <v>0</v>
      </c>
      <c r="BP104" s="65">
        <f>IF(BN104+BO104&gt;0,BN104+BO104,0)</f>
        <v>2862.09</v>
      </c>
      <c r="BQ104" s="65">
        <f>IF(U104=0,0,U104)</f>
        <v>637.90999999999985</v>
      </c>
      <c r="BR104" s="65">
        <f>IF(W104=0,0,W104)</f>
        <v>0</v>
      </c>
      <c r="BS104" s="65">
        <f>IF(BQ104+BR104&gt;0,BQ104+BR104,0)</f>
        <v>637.90999999999985</v>
      </c>
      <c r="BT104" s="65">
        <f>IF(V104&gt;0,V104,0)</f>
        <v>0</v>
      </c>
      <c r="BU104" s="65">
        <f>IF(BP104=0,0,BP104)</f>
        <v>2862.09</v>
      </c>
      <c r="BV104" s="65">
        <f>IF(BS104=0,0,BS104)</f>
        <v>637.90999999999985</v>
      </c>
      <c r="BW104" s="65">
        <f>IF(BP104+BT104+BV104&gt;0,BP104+BT104+BV104,0)</f>
        <v>3500</v>
      </c>
      <c r="BX104" s="88"/>
      <c r="BY104" s="88"/>
      <c r="BZ104" s="88"/>
      <c r="CA104" s="88"/>
      <c r="CB104" s="88"/>
      <c r="CC104" s="88"/>
      <c r="CD104" s="88"/>
      <c r="CE104" s="88"/>
      <c r="CF104" s="88"/>
      <c r="CG104" s="88"/>
    </row>
    <row r="105" spans="1:85" ht="15.75">
      <c r="A105" s="75"/>
      <c r="B105" s="76"/>
      <c r="C105" s="77"/>
      <c r="D105" s="78" t="s">
        <v>261</v>
      </c>
      <c r="E105" s="45">
        <f t="shared" ref="E105:H105" si="472">SUM(E106)</f>
        <v>0</v>
      </c>
      <c r="F105" s="46">
        <f t="shared" si="472"/>
        <v>0</v>
      </c>
      <c r="G105" s="46">
        <f t="shared" si="472"/>
        <v>0</v>
      </c>
      <c r="H105" s="46">
        <f t="shared" si="472"/>
        <v>0</v>
      </c>
      <c r="I105" s="47">
        <f t="shared" si="267"/>
        <v>0</v>
      </c>
      <c r="J105" s="47">
        <f t="shared" si="268"/>
        <v>0</v>
      </c>
      <c r="K105" s="46">
        <f t="shared" ref="K105:W105" si="473">SUM(K106)</f>
        <v>0</v>
      </c>
      <c r="L105" s="46">
        <f t="shared" si="473"/>
        <v>0</v>
      </c>
      <c r="M105" s="46">
        <f t="shared" si="473"/>
        <v>0</v>
      </c>
      <c r="N105" s="46">
        <f t="shared" si="473"/>
        <v>0</v>
      </c>
      <c r="O105" s="46">
        <f t="shared" si="473"/>
        <v>0</v>
      </c>
      <c r="P105" s="46">
        <f t="shared" si="473"/>
        <v>0</v>
      </c>
      <c r="Q105" s="46">
        <f t="shared" si="473"/>
        <v>0</v>
      </c>
      <c r="R105" s="46">
        <f t="shared" si="473"/>
        <v>0</v>
      </c>
      <c r="S105" s="46">
        <f t="shared" si="473"/>
        <v>0</v>
      </c>
      <c r="T105" s="46">
        <f t="shared" si="473"/>
        <v>0</v>
      </c>
      <c r="U105" s="46">
        <f t="shared" si="473"/>
        <v>0</v>
      </c>
      <c r="V105" s="46">
        <f t="shared" si="473"/>
        <v>0</v>
      </c>
      <c r="W105" s="46">
        <f t="shared" si="473"/>
        <v>0</v>
      </c>
      <c r="X105" s="50">
        <f t="shared" ref="X105:Y105" si="474">IF(O105&gt;0,O105/K105,0)</f>
        <v>0</v>
      </c>
      <c r="Y105" s="50">
        <f t="shared" si="474"/>
        <v>0</v>
      </c>
      <c r="Z105" s="50">
        <f t="shared" si="464"/>
        <v>0</v>
      </c>
      <c r="AA105" s="46">
        <f t="shared" ref="AA105:BW105" si="475">SUM(AA106)</f>
        <v>0</v>
      </c>
      <c r="AB105" s="46">
        <f t="shared" si="475"/>
        <v>0</v>
      </c>
      <c r="AC105" s="46">
        <f t="shared" si="475"/>
        <v>0</v>
      </c>
      <c r="AD105" s="46">
        <f t="shared" si="475"/>
        <v>0</v>
      </c>
      <c r="AE105" s="46">
        <f t="shared" si="475"/>
        <v>0</v>
      </c>
      <c r="AF105" s="46">
        <f t="shared" si="475"/>
        <v>0</v>
      </c>
      <c r="AG105" s="46">
        <f t="shared" si="475"/>
        <v>0</v>
      </c>
      <c r="AH105" s="46">
        <f t="shared" si="475"/>
        <v>0</v>
      </c>
      <c r="AI105" s="46">
        <f t="shared" si="475"/>
        <v>0</v>
      </c>
      <c r="AJ105" s="46">
        <f t="shared" si="475"/>
        <v>0</v>
      </c>
      <c r="AK105" s="46">
        <f t="shared" si="475"/>
        <v>0</v>
      </c>
      <c r="AL105" s="46">
        <f t="shared" si="475"/>
        <v>0</v>
      </c>
      <c r="AM105" s="46">
        <f t="shared" si="475"/>
        <v>0</v>
      </c>
      <c r="AN105" s="46">
        <f t="shared" si="475"/>
        <v>0</v>
      </c>
      <c r="AO105" s="46">
        <f t="shared" si="475"/>
        <v>0</v>
      </c>
      <c r="AP105" s="46">
        <f t="shared" si="475"/>
        <v>0</v>
      </c>
      <c r="AQ105" s="46">
        <f t="shared" si="475"/>
        <v>0</v>
      </c>
      <c r="AR105" s="46">
        <f t="shared" si="475"/>
        <v>0</v>
      </c>
      <c r="AS105" s="46">
        <f t="shared" si="475"/>
        <v>0</v>
      </c>
      <c r="AT105" s="46">
        <f t="shared" si="475"/>
        <v>0</v>
      </c>
      <c r="AU105" s="46">
        <f t="shared" si="475"/>
        <v>0</v>
      </c>
      <c r="AV105" s="46">
        <f t="shared" si="475"/>
        <v>0</v>
      </c>
      <c r="AW105" s="46">
        <f t="shared" si="475"/>
        <v>0</v>
      </c>
      <c r="AX105" s="46">
        <f t="shared" si="475"/>
        <v>0</v>
      </c>
      <c r="AY105" s="46">
        <f t="shared" si="475"/>
        <v>0</v>
      </c>
      <c r="AZ105" s="46">
        <f t="shared" si="475"/>
        <v>0</v>
      </c>
      <c r="BA105" s="46">
        <f t="shared" si="475"/>
        <v>0</v>
      </c>
      <c r="BB105" s="46">
        <f t="shared" si="475"/>
        <v>0</v>
      </c>
      <c r="BC105" s="46">
        <f t="shared" si="475"/>
        <v>0</v>
      </c>
      <c r="BD105" s="46">
        <f t="shared" si="475"/>
        <v>0</v>
      </c>
      <c r="BE105" s="46">
        <f t="shared" si="475"/>
        <v>0</v>
      </c>
      <c r="BF105" s="46">
        <f t="shared" si="475"/>
        <v>0</v>
      </c>
      <c r="BG105" s="46">
        <f t="shared" si="475"/>
        <v>0</v>
      </c>
      <c r="BH105" s="46">
        <f t="shared" si="475"/>
        <v>0</v>
      </c>
      <c r="BI105" s="46">
        <f t="shared" si="475"/>
        <v>0</v>
      </c>
      <c r="BJ105" s="46">
        <f t="shared" si="475"/>
        <v>0</v>
      </c>
      <c r="BK105" s="46">
        <f t="shared" si="475"/>
        <v>0</v>
      </c>
      <c r="BL105" s="46">
        <f t="shared" si="475"/>
        <v>0</v>
      </c>
      <c r="BM105" s="46">
        <f t="shared" si="475"/>
        <v>0</v>
      </c>
      <c r="BN105" s="46">
        <f t="shared" si="475"/>
        <v>0</v>
      </c>
      <c r="BO105" s="46">
        <f t="shared" si="475"/>
        <v>0</v>
      </c>
      <c r="BP105" s="46">
        <f t="shared" si="475"/>
        <v>0</v>
      </c>
      <c r="BQ105" s="46">
        <f t="shared" si="475"/>
        <v>0</v>
      </c>
      <c r="BR105" s="46">
        <f t="shared" si="475"/>
        <v>0</v>
      </c>
      <c r="BS105" s="46">
        <f t="shared" si="475"/>
        <v>0</v>
      </c>
      <c r="BT105" s="46">
        <f t="shared" si="475"/>
        <v>0</v>
      </c>
      <c r="BU105" s="46">
        <f t="shared" si="475"/>
        <v>0</v>
      </c>
      <c r="BV105" s="46">
        <f t="shared" si="475"/>
        <v>0</v>
      </c>
      <c r="BW105" s="46">
        <f t="shared" si="475"/>
        <v>0</v>
      </c>
      <c r="BX105" s="51"/>
      <c r="BY105" s="51"/>
      <c r="BZ105" s="51"/>
      <c r="CA105" s="51"/>
      <c r="CB105" s="51"/>
      <c r="CC105" s="51"/>
      <c r="CD105" s="51"/>
      <c r="CE105" s="51"/>
      <c r="CF105" s="51"/>
      <c r="CG105" s="51"/>
    </row>
    <row r="106" spans="1:85" ht="15.75" customHeight="1">
      <c r="A106" s="54"/>
      <c r="B106" s="204"/>
      <c r="C106" s="54" t="s">
        <v>262</v>
      </c>
      <c r="D106" s="205" t="s">
        <v>263</v>
      </c>
      <c r="E106" s="99">
        <v>0</v>
      </c>
      <c r="F106" s="57">
        <v>0</v>
      </c>
      <c r="G106" s="58">
        <v>0</v>
      </c>
      <c r="H106" s="99">
        <v>0</v>
      </c>
      <c r="I106" s="59">
        <f t="shared" si="267"/>
        <v>0</v>
      </c>
      <c r="J106" s="59">
        <f t="shared" si="268"/>
        <v>0</v>
      </c>
      <c r="K106" s="74">
        <v>0</v>
      </c>
      <c r="L106" s="74">
        <v>0</v>
      </c>
      <c r="M106" s="74">
        <v>0</v>
      </c>
      <c r="N106" s="74">
        <v>0</v>
      </c>
      <c r="O106" s="61">
        <f t="shared" ref="O106:Q106" si="476">AA106+AD106+AG106+AJ106+AM106+AP106+AS106+AV106+AY106+BB106+BE106+BH106</f>
        <v>0</v>
      </c>
      <c r="P106" s="61">
        <f t="shared" si="476"/>
        <v>0</v>
      </c>
      <c r="Q106" s="61">
        <f t="shared" si="476"/>
        <v>0</v>
      </c>
      <c r="R106" s="61">
        <f t="shared" ref="R106:T106" si="477">IF(BK106=0,SUM(AA106+AD106+AG106+AJ106+AM106+AP106+AS106+AV106+AY106+BB106+BE106+BH106),BK106)</f>
        <v>0</v>
      </c>
      <c r="S106" s="61">
        <f t="shared" si="477"/>
        <v>0</v>
      </c>
      <c r="T106" s="61">
        <f t="shared" si="477"/>
        <v>0</v>
      </c>
      <c r="U106" s="63">
        <f>K106-O106</f>
        <v>0</v>
      </c>
      <c r="V106" s="63">
        <f>L106-M106-S106</f>
        <v>0</v>
      </c>
      <c r="W106" s="63">
        <f>N106-Q106</f>
        <v>0</v>
      </c>
      <c r="X106" s="64">
        <f t="shared" ref="X106:Y106" si="478">IF(O106&gt;0,O106/K106,0)</f>
        <v>0</v>
      </c>
      <c r="Y106" s="64">
        <f t="shared" si="478"/>
        <v>0</v>
      </c>
      <c r="Z106" s="64">
        <f t="shared" si="464"/>
        <v>0</v>
      </c>
      <c r="AA106" s="65"/>
      <c r="AB106" s="65"/>
      <c r="AC106" s="65"/>
      <c r="AD106" s="65"/>
      <c r="AE106" s="66"/>
      <c r="AF106" s="66"/>
      <c r="AG106" s="66"/>
      <c r="AH106" s="66"/>
      <c r="AI106" s="65"/>
      <c r="AJ106" s="65"/>
      <c r="AK106" s="65"/>
      <c r="AL106" s="65"/>
      <c r="AM106" s="65"/>
      <c r="AN106" s="65"/>
      <c r="AO106" s="65"/>
      <c r="AP106" s="65"/>
      <c r="AQ106" s="65"/>
      <c r="AR106" s="65"/>
      <c r="AS106" s="65"/>
      <c r="AT106" s="65"/>
      <c r="AU106" s="65"/>
      <c r="AV106" s="65"/>
      <c r="AW106" s="65"/>
      <c r="AX106" s="65"/>
      <c r="AY106" s="65"/>
      <c r="AZ106" s="65"/>
      <c r="BA106" s="65"/>
      <c r="BB106" s="65"/>
      <c r="BC106" s="65"/>
      <c r="BD106" s="65"/>
      <c r="BE106" s="65"/>
      <c r="BF106" s="65"/>
      <c r="BG106" s="65"/>
      <c r="BH106" s="65"/>
      <c r="BI106" s="65"/>
      <c r="BJ106" s="65"/>
      <c r="BK106" s="65">
        <v>0</v>
      </c>
      <c r="BL106" s="65">
        <v>0</v>
      </c>
      <c r="BM106" s="65">
        <v>0</v>
      </c>
      <c r="BN106" s="65">
        <f>IF(O106-BK106&gt;0,O106-BK106,0)</f>
        <v>0</v>
      </c>
      <c r="BO106" s="67">
        <f>IF(Q106-BM106&gt;0,Q106-BM106,0)</f>
        <v>0</v>
      </c>
      <c r="BP106" s="65">
        <f>IF(BN106+BO106&gt;0,BN106+BO106,0)</f>
        <v>0</v>
      </c>
      <c r="BQ106" s="65">
        <f>IF(U106=0,0,U106)</f>
        <v>0</v>
      </c>
      <c r="BR106" s="65">
        <f>IF(W106=0,0,W106)</f>
        <v>0</v>
      </c>
      <c r="BS106" s="65">
        <f>IF(BQ106+BR106&gt;0,BQ106+BR106,0)</f>
        <v>0</v>
      </c>
      <c r="BT106" s="65">
        <f>IF(V106&gt;0,V106,0)</f>
        <v>0</v>
      </c>
      <c r="BU106" s="65">
        <f>IF(BP106=0,0,BP106)</f>
        <v>0</v>
      </c>
      <c r="BV106" s="65">
        <f>IF(BS106=0,0,BS106)</f>
        <v>0</v>
      </c>
      <c r="BW106" s="65">
        <f>IF(BP106+BT106+BV106&gt;0,BP106+BT106+BV106,0)</f>
        <v>0</v>
      </c>
      <c r="BX106" s="6"/>
      <c r="BY106" s="6"/>
      <c r="BZ106" s="6"/>
      <c r="CA106" s="6"/>
      <c r="CB106" s="6"/>
      <c r="CC106" s="6"/>
      <c r="CD106" s="6"/>
      <c r="CE106" s="6"/>
      <c r="CF106" s="6"/>
      <c r="CG106" s="6"/>
    </row>
    <row r="107" spans="1:85" ht="15.75">
      <c r="A107" s="75"/>
      <c r="B107" s="76"/>
      <c r="C107" s="77"/>
      <c r="D107" s="78" t="s">
        <v>264</v>
      </c>
      <c r="E107" s="45">
        <f t="shared" ref="E107:H107" si="479">SUM(E108:E111)</f>
        <v>0</v>
      </c>
      <c r="F107" s="46">
        <f t="shared" si="479"/>
        <v>0</v>
      </c>
      <c r="G107" s="46">
        <f t="shared" si="479"/>
        <v>0</v>
      </c>
      <c r="H107" s="46">
        <f t="shared" si="479"/>
        <v>0</v>
      </c>
      <c r="I107" s="47">
        <f t="shared" si="267"/>
        <v>0</v>
      </c>
      <c r="J107" s="47">
        <f t="shared" si="268"/>
        <v>0</v>
      </c>
      <c r="K107" s="46">
        <f t="shared" ref="K107:W107" si="480">SUM(K108:K111)</f>
        <v>0</v>
      </c>
      <c r="L107" s="46">
        <f t="shared" si="480"/>
        <v>0</v>
      </c>
      <c r="M107" s="46">
        <f t="shared" si="480"/>
        <v>0</v>
      </c>
      <c r="N107" s="46">
        <f t="shared" si="480"/>
        <v>0</v>
      </c>
      <c r="O107" s="46">
        <f t="shared" si="480"/>
        <v>0</v>
      </c>
      <c r="P107" s="46">
        <f t="shared" si="480"/>
        <v>0</v>
      </c>
      <c r="Q107" s="46">
        <f t="shared" si="480"/>
        <v>0</v>
      </c>
      <c r="R107" s="46">
        <f t="shared" si="480"/>
        <v>0</v>
      </c>
      <c r="S107" s="46">
        <f t="shared" si="480"/>
        <v>0</v>
      </c>
      <c r="T107" s="46">
        <f t="shared" si="480"/>
        <v>0</v>
      </c>
      <c r="U107" s="46">
        <f t="shared" si="480"/>
        <v>0</v>
      </c>
      <c r="V107" s="46">
        <f t="shared" si="480"/>
        <v>0</v>
      </c>
      <c r="W107" s="46">
        <f t="shared" si="480"/>
        <v>0</v>
      </c>
      <c r="X107" s="50">
        <f t="shared" ref="X107:Y107" si="481">IF(O107&gt;0,O107/K107,0)</f>
        <v>0</v>
      </c>
      <c r="Y107" s="50">
        <f t="shared" si="481"/>
        <v>0</v>
      </c>
      <c r="Z107" s="50">
        <f t="shared" si="464"/>
        <v>0</v>
      </c>
      <c r="AA107" s="46">
        <f t="shared" ref="AA107:BW107" si="482">SUM(AA108:AA111)</f>
        <v>0</v>
      </c>
      <c r="AB107" s="46">
        <f t="shared" si="482"/>
        <v>0</v>
      </c>
      <c r="AC107" s="46">
        <f t="shared" si="482"/>
        <v>0</v>
      </c>
      <c r="AD107" s="46">
        <f t="shared" si="482"/>
        <v>0</v>
      </c>
      <c r="AE107" s="46">
        <f t="shared" si="482"/>
        <v>0</v>
      </c>
      <c r="AF107" s="46">
        <f t="shared" si="482"/>
        <v>0</v>
      </c>
      <c r="AG107" s="46">
        <f t="shared" si="482"/>
        <v>0</v>
      </c>
      <c r="AH107" s="46">
        <f t="shared" si="482"/>
        <v>0</v>
      </c>
      <c r="AI107" s="46">
        <f t="shared" si="482"/>
        <v>0</v>
      </c>
      <c r="AJ107" s="46">
        <f t="shared" si="482"/>
        <v>0</v>
      </c>
      <c r="AK107" s="46">
        <f t="shared" si="482"/>
        <v>0</v>
      </c>
      <c r="AL107" s="46">
        <f t="shared" si="482"/>
        <v>0</v>
      </c>
      <c r="AM107" s="46">
        <f t="shared" si="482"/>
        <v>0</v>
      </c>
      <c r="AN107" s="46">
        <f t="shared" si="482"/>
        <v>0</v>
      </c>
      <c r="AO107" s="46">
        <f t="shared" si="482"/>
        <v>0</v>
      </c>
      <c r="AP107" s="46">
        <f t="shared" si="482"/>
        <v>0</v>
      </c>
      <c r="AQ107" s="46">
        <f t="shared" si="482"/>
        <v>0</v>
      </c>
      <c r="AR107" s="46">
        <f t="shared" si="482"/>
        <v>0</v>
      </c>
      <c r="AS107" s="46">
        <f t="shared" si="482"/>
        <v>0</v>
      </c>
      <c r="AT107" s="46">
        <f t="shared" si="482"/>
        <v>0</v>
      </c>
      <c r="AU107" s="46">
        <f t="shared" si="482"/>
        <v>0</v>
      </c>
      <c r="AV107" s="46">
        <f t="shared" si="482"/>
        <v>0</v>
      </c>
      <c r="AW107" s="46">
        <f t="shared" si="482"/>
        <v>0</v>
      </c>
      <c r="AX107" s="46">
        <f t="shared" si="482"/>
        <v>0</v>
      </c>
      <c r="AY107" s="46">
        <f t="shared" si="482"/>
        <v>0</v>
      </c>
      <c r="AZ107" s="46">
        <f t="shared" si="482"/>
        <v>0</v>
      </c>
      <c r="BA107" s="46">
        <f t="shared" si="482"/>
        <v>0</v>
      </c>
      <c r="BB107" s="46">
        <f t="shared" si="482"/>
        <v>0</v>
      </c>
      <c r="BC107" s="46">
        <f t="shared" si="482"/>
        <v>0</v>
      </c>
      <c r="BD107" s="46">
        <f t="shared" si="482"/>
        <v>0</v>
      </c>
      <c r="BE107" s="46">
        <f t="shared" si="482"/>
        <v>0</v>
      </c>
      <c r="BF107" s="46">
        <f t="shared" si="482"/>
        <v>0</v>
      </c>
      <c r="BG107" s="46">
        <f t="shared" si="482"/>
        <v>0</v>
      </c>
      <c r="BH107" s="46">
        <f t="shared" si="482"/>
        <v>0</v>
      </c>
      <c r="BI107" s="46">
        <f t="shared" si="482"/>
        <v>0</v>
      </c>
      <c r="BJ107" s="46">
        <f t="shared" si="482"/>
        <v>0</v>
      </c>
      <c r="BK107" s="46">
        <f t="shared" si="482"/>
        <v>0</v>
      </c>
      <c r="BL107" s="46">
        <f t="shared" si="482"/>
        <v>0</v>
      </c>
      <c r="BM107" s="46">
        <f t="shared" si="482"/>
        <v>0</v>
      </c>
      <c r="BN107" s="46">
        <f t="shared" si="482"/>
        <v>0</v>
      </c>
      <c r="BO107" s="46">
        <f t="shared" si="482"/>
        <v>0</v>
      </c>
      <c r="BP107" s="46">
        <f t="shared" si="482"/>
        <v>0</v>
      </c>
      <c r="BQ107" s="46">
        <f t="shared" si="482"/>
        <v>0</v>
      </c>
      <c r="BR107" s="46">
        <f t="shared" si="482"/>
        <v>0</v>
      </c>
      <c r="BS107" s="46">
        <f t="shared" si="482"/>
        <v>0</v>
      </c>
      <c r="BT107" s="46">
        <f t="shared" si="482"/>
        <v>0</v>
      </c>
      <c r="BU107" s="46">
        <f t="shared" si="482"/>
        <v>0</v>
      </c>
      <c r="BV107" s="46">
        <f t="shared" si="482"/>
        <v>0</v>
      </c>
      <c r="BW107" s="46">
        <f t="shared" si="482"/>
        <v>0</v>
      </c>
      <c r="BX107" s="51"/>
      <c r="BY107" s="51"/>
      <c r="BZ107" s="51"/>
      <c r="CA107" s="51"/>
      <c r="CB107" s="51"/>
      <c r="CC107" s="51"/>
      <c r="CD107" s="51"/>
      <c r="CE107" s="51"/>
      <c r="CF107" s="51"/>
      <c r="CG107" s="51"/>
    </row>
    <row r="108" spans="1:85" ht="15.75" customHeight="1">
      <c r="A108" s="206"/>
      <c r="B108" s="53"/>
      <c r="C108" s="54" t="s">
        <v>265</v>
      </c>
      <c r="D108" s="55" t="s">
        <v>266</v>
      </c>
      <c r="E108" s="187">
        <v>0</v>
      </c>
      <c r="F108" s="187">
        <v>0</v>
      </c>
      <c r="G108" s="58">
        <f t="shared" ref="G108:G111" si="483">E108-F108</f>
        <v>0</v>
      </c>
      <c r="H108" s="187">
        <v>0</v>
      </c>
      <c r="I108" s="59">
        <f t="shared" si="267"/>
        <v>0</v>
      </c>
      <c r="J108" s="59">
        <f t="shared" si="268"/>
        <v>0</v>
      </c>
      <c r="K108" s="74">
        <v>0</v>
      </c>
      <c r="L108" s="74">
        <v>0</v>
      </c>
      <c r="M108" s="74">
        <v>0</v>
      </c>
      <c r="N108" s="74">
        <v>0</v>
      </c>
      <c r="O108" s="61">
        <f t="shared" ref="O108:Q108" si="484">AA108+AD108+AG108+AJ108+AM108+AP108+AS108+AV108+AY108+BB108+BE108+BH108</f>
        <v>0</v>
      </c>
      <c r="P108" s="61">
        <f t="shared" si="484"/>
        <v>0</v>
      </c>
      <c r="Q108" s="61">
        <f t="shared" si="484"/>
        <v>0</v>
      </c>
      <c r="R108" s="61">
        <f t="shared" ref="R108:T108" si="485">IF(BK108=0,SUM(AA108+AD108+AG108+AJ108+AM108+AP108+AS108+AV108+AY108+BB108+BE108+BH108),BK108)</f>
        <v>0</v>
      </c>
      <c r="S108" s="61">
        <f t="shared" si="485"/>
        <v>0</v>
      </c>
      <c r="T108" s="61">
        <f t="shared" si="485"/>
        <v>0</v>
      </c>
      <c r="U108" s="63">
        <f t="shared" ref="U108:U111" si="486">K108-O108</f>
        <v>0</v>
      </c>
      <c r="V108" s="63">
        <f t="shared" ref="V108:V111" si="487">L108-M108-S108</f>
        <v>0</v>
      </c>
      <c r="W108" s="63">
        <f t="shared" ref="W108:W111" si="488">N108-Q108</f>
        <v>0</v>
      </c>
      <c r="X108" s="64">
        <f t="shared" ref="X108:Y108" si="489">IF(O108&gt;0,O108/K108,0)</f>
        <v>0</v>
      </c>
      <c r="Y108" s="64">
        <f t="shared" si="489"/>
        <v>0</v>
      </c>
      <c r="Z108" s="64">
        <f t="shared" si="464"/>
        <v>0</v>
      </c>
      <c r="AA108" s="65"/>
      <c r="AB108" s="65"/>
      <c r="AC108" s="65"/>
      <c r="AD108" s="65"/>
      <c r="AE108" s="66"/>
      <c r="AF108" s="66"/>
      <c r="AG108" s="66"/>
      <c r="AH108" s="66"/>
      <c r="AI108" s="65"/>
      <c r="AJ108" s="65"/>
      <c r="AK108" s="65"/>
      <c r="AL108" s="65"/>
      <c r="AM108" s="65"/>
      <c r="AN108" s="65"/>
      <c r="AO108" s="65"/>
      <c r="AP108" s="65"/>
      <c r="AQ108" s="65"/>
      <c r="AR108" s="65"/>
      <c r="AS108" s="65"/>
      <c r="AT108" s="65"/>
      <c r="AU108" s="65"/>
      <c r="AV108" s="65"/>
      <c r="AW108" s="65"/>
      <c r="AX108" s="65"/>
      <c r="AY108" s="65"/>
      <c r="AZ108" s="65"/>
      <c r="BA108" s="65"/>
      <c r="BB108" s="65"/>
      <c r="BC108" s="65"/>
      <c r="BD108" s="65"/>
      <c r="BE108" s="65"/>
      <c r="BF108" s="65"/>
      <c r="BG108" s="65"/>
      <c r="BH108" s="65"/>
      <c r="BI108" s="65"/>
      <c r="BJ108" s="65"/>
      <c r="BK108" s="65">
        <v>0</v>
      </c>
      <c r="BL108" s="65">
        <v>0</v>
      </c>
      <c r="BM108" s="65">
        <v>0</v>
      </c>
      <c r="BN108" s="65">
        <f t="shared" ref="BN108:BN111" si="490">IF(O108-BK108&gt;0,O108-BK108,0)</f>
        <v>0</v>
      </c>
      <c r="BO108" s="67">
        <f t="shared" ref="BO108:BO111" si="491">IF(Q108-BM108&gt;0,Q108-BM108,0)</f>
        <v>0</v>
      </c>
      <c r="BP108" s="65">
        <f t="shared" ref="BP108:BP111" si="492">IF(BN108+BO108&gt;0,BN108+BO108,0)</f>
        <v>0</v>
      </c>
      <c r="BQ108" s="65">
        <f t="shared" ref="BQ108:BQ111" si="493">IF(U108=0,0,U108)</f>
        <v>0</v>
      </c>
      <c r="BR108" s="65">
        <f t="shared" ref="BR108:BR111" si="494">IF(W108=0,0,W108)</f>
        <v>0</v>
      </c>
      <c r="BS108" s="65">
        <f t="shared" ref="BS108:BS111" si="495">IF(BQ108+BR108&gt;0,BQ108+BR108,0)</f>
        <v>0</v>
      </c>
      <c r="BT108" s="65">
        <f t="shared" ref="BT108:BT111" si="496">IF(V108&gt;0,V108,0)</f>
        <v>0</v>
      </c>
      <c r="BU108" s="65">
        <f t="shared" ref="BU108:BU111" si="497">IF(BP108=0,0,BP108)</f>
        <v>0</v>
      </c>
      <c r="BV108" s="65">
        <f t="shared" ref="BV108:BV111" si="498">IF(BS108=0,0,BS108)</f>
        <v>0</v>
      </c>
      <c r="BW108" s="65">
        <f t="shared" ref="BW108:BW111" si="499">IF(BP108+BT108+BV108&gt;0,BP108+BT108+BV108,0)</f>
        <v>0</v>
      </c>
      <c r="BX108" s="6"/>
      <c r="BY108" s="6"/>
      <c r="BZ108" s="6"/>
      <c r="CA108" s="6"/>
      <c r="CB108" s="6"/>
      <c r="CC108" s="6"/>
      <c r="CD108" s="6"/>
      <c r="CE108" s="6"/>
      <c r="CF108" s="6"/>
      <c r="CG108" s="6"/>
    </row>
    <row r="109" spans="1:85" ht="15.75" customHeight="1">
      <c r="A109" s="121"/>
      <c r="B109" s="169"/>
      <c r="C109" s="68" t="s">
        <v>267</v>
      </c>
      <c r="D109" s="70" t="s">
        <v>268</v>
      </c>
      <c r="E109" s="192">
        <v>0</v>
      </c>
      <c r="F109" s="192">
        <v>0</v>
      </c>
      <c r="G109" s="58">
        <f t="shared" si="483"/>
        <v>0</v>
      </c>
      <c r="H109" s="192">
        <v>0</v>
      </c>
      <c r="I109" s="59">
        <f t="shared" si="267"/>
        <v>0</v>
      </c>
      <c r="J109" s="59">
        <f t="shared" si="268"/>
        <v>0</v>
      </c>
      <c r="K109" s="74">
        <v>0</v>
      </c>
      <c r="L109" s="74">
        <v>0</v>
      </c>
      <c r="M109" s="74">
        <v>0</v>
      </c>
      <c r="N109" s="74">
        <v>0</v>
      </c>
      <c r="O109" s="61">
        <f t="shared" ref="O109:Q109" si="500">AA109+AD109+AG109+AJ109+AM109+AP109+AS109+AV109+AY109+BB109+BE109+BH109</f>
        <v>0</v>
      </c>
      <c r="P109" s="61">
        <f t="shared" si="500"/>
        <v>0</v>
      </c>
      <c r="Q109" s="61">
        <f t="shared" si="500"/>
        <v>0</v>
      </c>
      <c r="R109" s="61">
        <f t="shared" ref="R109:T109" si="501">IF(BK109=0,SUM(AA109+AD109+AG109+AJ109+AM109+AP109+AS109+AV109+AY109+BB109+BE109+BH109),BK109)</f>
        <v>0</v>
      </c>
      <c r="S109" s="61">
        <f t="shared" si="501"/>
        <v>0</v>
      </c>
      <c r="T109" s="61">
        <f t="shared" si="501"/>
        <v>0</v>
      </c>
      <c r="U109" s="63">
        <f t="shared" si="486"/>
        <v>0</v>
      </c>
      <c r="V109" s="63">
        <f t="shared" si="487"/>
        <v>0</v>
      </c>
      <c r="W109" s="63">
        <f t="shared" si="488"/>
        <v>0</v>
      </c>
      <c r="X109" s="64">
        <f t="shared" ref="X109:Y109" si="502">IF(O109&gt;0,O109/K109,0)</f>
        <v>0</v>
      </c>
      <c r="Y109" s="64">
        <f t="shared" si="502"/>
        <v>0</v>
      </c>
      <c r="Z109" s="64">
        <f t="shared" si="464"/>
        <v>0</v>
      </c>
      <c r="AA109" s="65"/>
      <c r="AB109" s="65"/>
      <c r="AC109" s="65"/>
      <c r="AD109" s="65"/>
      <c r="AE109" s="66"/>
      <c r="AF109" s="66"/>
      <c r="AG109" s="66"/>
      <c r="AH109" s="66"/>
      <c r="AI109" s="65"/>
      <c r="AJ109" s="65"/>
      <c r="AK109" s="65"/>
      <c r="AL109" s="65"/>
      <c r="AM109" s="65"/>
      <c r="AN109" s="65"/>
      <c r="AO109" s="65"/>
      <c r="AP109" s="65"/>
      <c r="AQ109" s="65"/>
      <c r="AR109" s="65"/>
      <c r="AS109" s="65"/>
      <c r="AT109" s="65"/>
      <c r="AU109" s="65"/>
      <c r="AV109" s="65"/>
      <c r="AW109" s="65"/>
      <c r="AX109" s="65"/>
      <c r="AY109" s="65"/>
      <c r="AZ109" s="65"/>
      <c r="BA109" s="65"/>
      <c r="BB109" s="65"/>
      <c r="BC109" s="65"/>
      <c r="BD109" s="65"/>
      <c r="BE109" s="65"/>
      <c r="BF109" s="65"/>
      <c r="BG109" s="65"/>
      <c r="BH109" s="65"/>
      <c r="BI109" s="65"/>
      <c r="BJ109" s="65"/>
      <c r="BK109" s="65">
        <v>0</v>
      </c>
      <c r="BL109" s="65">
        <v>0</v>
      </c>
      <c r="BM109" s="65">
        <v>0</v>
      </c>
      <c r="BN109" s="65">
        <f t="shared" si="490"/>
        <v>0</v>
      </c>
      <c r="BO109" s="67">
        <f t="shared" si="491"/>
        <v>0</v>
      </c>
      <c r="BP109" s="65">
        <f t="shared" si="492"/>
        <v>0</v>
      </c>
      <c r="BQ109" s="65">
        <f t="shared" si="493"/>
        <v>0</v>
      </c>
      <c r="BR109" s="65">
        <f t="shared" si="494"/>
        <v>0</v>
      </c>
      <c r="BS109" s="65">
        <f t="shared" si="495"/>
        <v>0</v>
      </c>
      <c r="BT109" s="65">
        <f t="shared" si="496"/>
        <v>0</v>
      </c>
      <c r="BU109" s="65">
        <f t="shared" si="497"/>
        <v>0</v>
      </c>
      <c r="BV109" s="65">
        <f t="shared" si="498"/>
        <v>0</v>
      </c>
      <c r="BW109" s="65">
        <f t="shared" si="499"/>
        <v>0</v>
      </c>
      <c r="BX109" s="6"/>
      <c r="BY109" s="6"/>
      <c r="BZ109" s="6"/>
      <c r="CA109" s="6"/>
      <c r="CB109" s="6"/>
      <c r="CC109" s="6"/>
      <c r="CD109" s="6"/>
      <c r="CE109" s="6"/>
      <c r="CF109" s="6"/>
      <c r="CG109" s="6"/>
    </row>
    <row r="110" spans="1:85" ht="15.75" customHeight="1">
      <c r="A110" s="121"/>
      <c r="B110" s="169"/>
      <c r="C110" s="68" t="s">
        <v>267</v>
      </c>
      <c r="D110" s="70" t="s">
        <v>269</v>
      </c>
      <c r="E110" s="57">
        <v>0</v>
      </c>
      <c r="F110" s="57">
        <v>0</v>
      </c>
      <c r="G110" s="58">
        <f t="shared" si="483"/>
        <v>0</v>
      </c>
      <c r="H110" s="57">
        <v>0</v>
      </c>
      <c r="I110" s="59">
        <f t="shared" si="267"/>
        <v>0</v>
      </c>
      <c r="J110" s="59">
        <f t="shared" si="268"/>
        <v>0</v>
      </c>
      <c r="K110" s="74">
        <v>0</v>
      </c>
      <c r="L110" s="74">
        <v>0</v>
      </c>
      <c r="M110" s="74">
        <v>0</v>
      </c>
      <c r="N110" s="74">
        <v>0</v>
      </c>
      <c r="O110" s="61">
        <f t="shared" ref="O110:Q110" si="503">AA110+AD110+AG110+AJ110+AM110+AP110+AS110+AV110+AY110+BB110+BE110+BH110</f>
        <v>0</v>
      </c>
      <c r="P110" s="61">
        <f t="shared" si="503"/>
        <v>0</v>
      </c>
      <c r="Q110" s="61">
        <f t="shared" si="503"/>
        <v>0</v>
      </c>
      <c r="R110" s="61">
        <f t="shared" ref="R110:T110" si="504">IF(BK110=0,SUM(AA110+AD110+AG110+AJ110+AM110+AP110+AS110+AV110+AY110+BB110+BE110+BH110),BK110)</f>
        <v>0</v>
      </c>
      <c r="S110" s="61">
        <f t="shared" si="504"/>
        <v>0</v>
      </c>
      <c r="T110" s="61">
        <f t="shared" si="504"/>
        <v>0</v>
      </c>
      <c r="U110" s="63">
        <f t="shared" si="486"/>
        <v>0</v>
      </c>
      <c r="V110" s="63">
        <f t="shared" si="487"/>
        <v>0</v>
      </c>
      <c r="W110" s="63">
        <f t="shared" si="488"/>
        <v>0</v>
      </c>
      <c r="X110" s="64">
        <f t="shared" ref="X110:Y110" si="505">IF(O110&gt;0,O110/K110,0)</f>
        <v>0</v>
      </c>
      <c r="Y110" s="64">
        <f t="shared" si="505"/>
        <v>0</v>
      </c>
      <c r="Z110" s="64">
        <f t="shared" si="464"/>
        <v>0</v>
      </c>
      <c r="AA110" s="65"/>
      <c r="AB110" s="65"/>
      <c r="AC110" s="65"/>
      <c r="AD110" s="65"/>
      <c r="AE110" s="66"/>
      <c r="AF110" s="66"/>
      <c r="AG110" s="66"/>
      <c r="AH110" s="66"/>
      <c r="AI110" s="65"/>
      <c r="AJ110" s="65"/>
      <c r="AK110" s="65"/>
      <c r="AL110" s="65"/>
      <c r="AM110" s="65"/>
      <c r="AN110" s="65"/>
      <c r="AO110" s="65"/>
      <c r="AP110" s="65"/>
      <c r="AQ110" s="65"/>
      <c r="AR110" s="65"/>
      <c r="AS110" s="65"/>
      <c r="AT110" s="65"/>
      <c r="AU110" s="65"/>
      <c r="AV110" s="65"/>
      <c r="AW110" s="65"/>
      <c r="AX110" s="65"/>
      <c r="AY110" s="65"/>
      <c r="AZ110" s="65"/>
      <c r="BA110" s="65"/>
      <c r="BB110" s="65"/>
      <c r="BC110" s="65"/>
      <c r="BD110" s="65"/>
      <c r="BE110" s="65"/>
      <c r="BF110" s="65"/>
      <c r="BG110" s="65"/>
      <c r="BH110" s="65"/>
      <c r="BI110" s="65"/>
      <c r="BJ110" s="65"/>
      <c r="BK110" s="65">
        <v>0</v>
      </c>
      <c r="BL110" s="65">
        <v>0</v>
      </c>
      <c r="BM110" s="65">
        <v>0</v>
      </c>
      <c r="BN110" s="65">
        <f t="shared" si="490"/>
        <v>0</v>
      </c>
      <c r="BO110" s="67">
        <f t="shared" si="491"/>
        <v>0</v>
      </c>
      <c r="BP110" s="65">
        <f t="shared" si="492"/>
        <v>0</v>
      </c>
      <c r="BQ110" s="65">
        <f t="shared" si="493"/>
        <v>0</v>
      </c>
      <c r="BR110" s="65">
        <f t="shared" si="494"/>
        <v>0</v>
      </c>
      <c r="BS110" s="65">
        <f t="shared" si="495"/>
        <v>0</v>
      </c>
      <c r="BT110" s="65">
        <f t="shared" si="496"/>
        <v>0</v>
      </c>
      <c r="BU110" s="65">
        <f t="shared" si="497"/>
        <v>0</v>
      </c>
      <c r="BV110" s="65">
        <f t="shared" si="498"/>
        <v>0</v>
      </c>
      <c r="BW110" s="65">
        <f t="shared" si="499"/>
        <v>0</v>
      </c>
      <c r="BX110" s="6"/>
      <c r="BY110" s="6"/>
      <c r="BZ110" s="6"/>
      <c r="CA110" s="6"/>
      <c r="CB110" s="6"/>
      <c r="CC110" s="6"/>
      <c r="CD110" s="6"/>
      <c r="CE110" s="6"/>
      <c r="CF110" s="6"/>
      <c r="CG110" s="6"/>
    </row>
    <row r="111" spans="1:85" ht="15.75" customHeight="1">
      <c r="A111" s="119"/>
      <c r="B111" s="207"/>
      <c r="C111" s="71" t="s">
        <v>267</v>
      </c>
      <c r="D111" s="73" t="s">
        <v>270</v>
      </c>
      <c r="E111" s="57">
        <v>0</v>
      </c>
      <c r="F111" s="57">
        <v>0</v>
      </c>
      <c r="G111" s="58">
        <f t="shared" si="483"/>
        <v>0</v>
      </c>
      <c r="H111" s="57">
        <v>0</v>
      </c>
      <c r="I111" s="59">
        <f t="shared" si="267"/>
        <v>0</v>
      </c>
      <c r="J111" s="59">
        <f t="shared" si="268"/>
        <v>0</v>
      </c>
      <c r="K111" s="74">
        <v>0</v>
      </c>
      <c r="L111" s="74">
        <v>0</v>
      </c>
      <c r="M111" s="74">
        <v>0</v>
      </c>
      <c r="N111" s="74">
        <v>0</v>
      </c>
      <c r="O111" s="61">
        <f t="shared" ref="O111:Q111" si="506">AA111+AD111+AG111+AJ111+AM111+AP111+AS111+AV111+AY111+BB111+BE111+BH111</f>
        <v>0</v>
      </c>
      <c r="P111" s="61">
        <f t="shared" si="506"/>
        <v>0</v>
      </c>
      <c r="Q111" s="61">
        <f t="shared" si="506"/>
        <v>0</v>
      </c>
      <c r="R111" s="61">
        <f t="shared" ref="R111:T111" si="507">IF(BK111=0,SUM(AA111+AD111+AG111+AJ111+AM111+AP111+AS111+AV111+AY111+BB111+BE111+BH111),BK111)</f>
        <v>0</v>
      </c>
      <c r="S111" s="61">
        <f t="shared" si="507"/>
        <v>0</v>
      </c>
      <c r="T111" s="61">
        <f t="shared" si="507"/>
        <v>0</v>
      </c>
      <c r="U111" s="63">
        <f t="shared" si="486"/>
        <v>0</v>
      </c>
      <c r="V111" s="63">
        <f t="shared" si="487"/>
        <v>0</v>
      </c>
      <c r="W111" s="63">
        <f t="shared" si="488"/>
        <v>0</v>
      </c>
      <c r="X111" s="64">
        <f t="shared" ref="X111:Y111" si="508">IF(O111&gt;0,O111/K111,0)</f>
        <v>0</v>
      </c>
      <c r="Y111" s="64">
        <f t="shared" si="508"/>
        <v>0</v>
      </c>
      <c r="Z111" s="64">
        <f t="shared" si="464"/>
        <v>0</v>
      </c>
      <c r="AA111" s="65"/>
      <c r="AB111" s="65"/>
      <c r="AC111" s="65"/>
      <c r="AD111" s="65"/>
      <c r="AE111" s="66"/>
      <c r="AF111" s="66"/>
      <c r="AG111" s="66"/>
      <c r="AH111" s="66"/>
      <c r="AI111" s="65"/>
      <c r="AJ111" s="65"/>
      <c r="AK111" s="65"/>
      <c r="AL111" s="65"/>
      <c r="AM111" s="65"/>
      <c r="AN111" s="65"/>
      <c r="AO111" s="65"/>
      <c r="AP111" s="65"/>
      <c r="AQ111" s="65"/>
      <c r="AR111" s="65"/>
      <c r="AS111" s="65"/>
      <c r="AT111" s="65"/>
      <c r="AU111" s="65"/>
      <c r="AV111" s="65"/>
      <c r="AW111" s="65"/>
      <c r="AX111" s="65"/>
      <c r="AY111" s="65"/>
      <c r="AZ111" s="65"/>
      <c r="BA111" s="65"/>
      <c r="BB111" s="65"/>
      <c r="BC111" s="65"/>
      <c r="BD111" s="65"/>
      <c r="BE111" s="65"/>
      <c r="BF111" s="65"/>
      <c r="BG111" s="65"/>
      <c r="BH111" s="65"/>
      <c r="BI111" s="65"/>
      <c r="BJ111" s="65"/>
      <c r="BK111" s="65">
        <v>0</v>
      </c>
      <c r="BL111" s="65">
        <v>0</v>
      </c>
      <c r="BM111" s="65">
        <v>0</v>
      </c>
      <c r="BN111" s="65">
        <f t="shared" si="490"/>
        <v>0</v>
      </c>
      <c r="BO111" s="67">
        <f t="shared" si="491"/>
        <v>0</v>
      </c>
      <c r="BP111" s="65">
        <f t="shared" si="492"/>
        <v>0</v>
      </c>
      <c r="BQ111" s="65">
        <f t="shared" si="493"/>
        <v>0</v>
      </c>
      <c r="BR111" s="65">
        <f t="shared" si="494"/>
        <v>0</v>
      </c>
      <c r="BS111" s="65">
        <f t="shared" si="495"/>
        <v>0</v>
      </c>
      <c r="BT111" s="65">
        <f t="shared" si="496"/>
        <v>0</v>
      </c>
      <c r="BU111" s="65">
        <f t="shared" si="497"/>
        <v>0</v>
      </c>
      <c r="BV111" s="65">
        <f t="shared" si="498"/>
        <v>0</v>
      </c>
      <c r="BW111" s="65">
        <f t="shared" si="499"/>
        <v>0</v>
      </c>
      <c r="BX111" s="6"/>
      <c r="BY111" s="6"/>
      <c r="BZ111" s="6"/>
      <c r="CA111" s="6"/>
      <c r="CB111" s="6"/>
      <c r="CC111" s="6"/>
      <c r="CD111" s="6"/>
      <c r="CE111" s="6"/>
      <c r="CF111" s="6"/>
      <c r="CG111" s="6"/>
    </row>
    <row r="112" spans="1:85" ht="15.75" customHeight="1">
      <c r="A112" s="34"/>
      <c r="B112" s="35"/>
      <c r="C112" s="36"/>
      <c r="D112" s="37" t="s">
        <v>79</v>
      </c>
      <c r="E112" s="38">
        <f t="shared" ref="E112:H112" si="509">E113+E115+E117+E121+E126+E128+E139+E141</f>
        <v>0</v>
      </c>
      <c r="F112" s="38">
        <f t="shared" si="509"/>
        <v>0</v>
      </c>
      <c r="G112" s="38">
        <f t="shared" si="509"/>
        <v>0</v>
      </c>
      <c r="H112" s="38">
        <f t="shared" si="509"/>
        <v>6843000</v>
      </c>
      <c r="I112" s="39">
        <f t="shared" si="267"/>
        <v>0</v>
      </c>
      <c r="J112" s="39">
        <f t="shared" si="268"/>
        <v>0</v>
      </c>
      <c r="K112" s="38">
        <f t="shared" ref="K112:W112" si="510">K113+K115+K117+K121+K126+K128+K139+K141</f>
        <v>0</v>
      </c>
      <c r="L112" s="38">
        <f t="shared" si="510"/>
        <v>134305.46000000002</v>
      </c>
      <c r="M112" s="38">
        <f t="shared" si="510"/>
        <v>0</v>
      </c>
      <c r="N112" s="38">
        <f t="shared" si="510"/>
        <v>1349</v>
      </c>
      <c r="O112" s="38">
        <f t="shared" si="510"/>
        <v>0</v>
      </c>
      <c r="P112" s="38">
        <f t="shared" si="510"/>
        <v>42804.270000000004</v>
      </c>
      <c r="Q112" s="38">
        <f t="shared" si="510"/>
        <v>0</v>
      </c>
      <c r="R112" s="38">
        <f t="shared" si="510"/>
        <v>0</v>
      </c>
      <c r="S112" s="38">
        <f t="shared" si="510"/>
        <v>42804.270000000004</v>
      </c>
      <c r="T112" s="38">
        <f t="shared" si="510"/>
        <v>0</v>
      </c>
      <c r="U112" s="38">
        <f t="shared" si="510"/>
        <v>0</v>
      </c>
      <c r="V112" s="38">
        <f t="shared" si="510"/>
        <v>91501.19</v>
      </c>
      <c r="W112" s="38">
        <f t="shared" si="510"/>
        <v>1349</v>
      </c>
      <c r="X112" s="40">
        <f t="shared" ref="X112:Y112" si="511">IF(O112&gt;0,O112/K112,0)</f>
        <v>0</v>
      </c>
      <c r="Y112" s="40">
        <f t="shared" si="511"/>
        <v>0.31870833843985197</v>
      </c>
      <c r="Z112" s="40">
        <f t="shared" si="464"/>
        <v>0</v>
      </c>
      <c r="AA112" s="38">
        <f t="shared" ref="AA112:BW112" si="512">AA113+AA115+AA117+AA121+AA126+AA128+AA139+AA141</f>
        <v>0</v>
      </c>
      <c r="AB112" s="38">
        <f t="shared" si="512"/>
        <v>25705.09</v>
      </c>
      <c r="AC112" s="38">
        <f t="shared" si="512"/>
        <v>0</v>
      </c>
      <c r="AD112" s="38">
        <f t="shared" si="512"/>
        <v>0</v>
      </c>
      <c r="AE112" s="38">
        <f t="shared" si="512"/>
        <v>8460.51</v>
      </c>
      <c r="AF112" s="38">
        <f t="shared" si="512"/>
        <v>0</v>
      </c>
      <c r="AG112" s="38">
        <f t="shared" si="512"/>
        <v>0</v>
      </c>
      <c r="AH112" s="38">
        <f t="shared" si="512"/>
        <v>0</v>
      </c>
      <c r="AI112" s="38">
        <f t="shared" si="512"/>
        <v>0</v>
      </c>
      <c r="AJ112" s="38">
        <f t="shared" si="512"/>
        <v>0</v>
      </c>
      <c r="AK112" s="38">
        <f t="shared" si="512"/>
        <v>0</v>
      </c>
      <c r="AL112" s="38">
        <f t="shared" si="512"/>
        <v>0</v>
      </c>
      <c r="AM112" s="38">
        <f t="shared" si="512"/>
        <v>0</v>
      </c>
      <c r="AN112" s="38">
        <f t="shared" si="512"/>
        <v>8638.67</v>
      </c>
      <c r="AO112" s="38">
        <f t="shared" si="512"/>
        <v>0</v>
      </c>
      <c r="AP112" s="38">
        <f t="shared" si="512"/>
        <v>0</v>
      </c>
      <c r="AQ112" s="38">
        <f t="shared" si="512"/>
        <v>0</v>
      </c>
      <c r="AR112" s="38">
        <f t="shared" si="512"/>
        <v>0</v>
      </c>
      <c r="AS112" s="38">
        <f t="shared" si="512"/>
        <v>0</v>
      </c>
      <c r="AT112" s="38">
        <f t="shared" si="512"/>
        <v>0</v>
      </c>
      <c r="AU112" s="38">
        <f t="shared" si="512"/>
        <v>0</v>
      </c>
      <c r="AV112" s="38">
        <f t="shared" si="512"/>
        <v>0</v>
      </c>
      <c r="AW112" s="38">
        <f t="shared" si="512"/>
        <v>0</v>
      </c>
      <c r="AX112" s="38">
        <f t="shared" si="512"/>
        <v>0</v>
      </c>
      <c r="AY112" s="38">
        <f t="shared" si="512"/>
        <v>0</v>
      </c>
      <c r="AZ112" s="38">
        <f t="shared" si="512"/>
        <v>0</v>
      </c>
      <c r="BA112" s="38">
        <f t="shared" si="512"/>
        <v>0</v>
      </c>
      <c r="BB112" s="38">
        <f t="shared" si="512"/>
        <v>0</v>
      </c>
      <c r="BC112" s="38">
        <f t="shared" si="512"/>
        <v>0</v>
      </c>
      <c r="BD112" s="38">
        <f t="shared" si="512"/>
        <v>0</v>
      </c>
      <c r="BE112" s="38">
        <f t="shared" si="512"/>
        <v>0</v>
      </c>
      <c r="BF112" s="38">
        <f t="shared" si="512"/>
        <v>0</v>
      </c>
      <c r="BG112" s="38">
        <f t="shared" si="512"/>
        <v>0</v>
      </c>
      <c r="BH112" s="38">
        <f t="shared" si="512"/>
        <v>0</v>
      </c>
      <c r="BI112" s="38">
        <f t="shared" si="512"/>
        <v>0</v>
      </c>
      <c r="BJ112" s="38">
        <f t="shared" si="512"/>
        <v>0</v>
      </c>
      <c r="BK112" s="38">
        <f t="shared" si="512"/>
        <v>0</v>
      </c>
      <c r="BL112" s="38">
        <f t="shared" si="512"/>
        <v>0</v>
      </c>
      <c r="BM112" s="38">
        <f t="shared" si="512"/>
        <v>0</v>
      </c>
      <c r="BN112" s="38">
        <f t="shared" si="512"/>
        <v>0</v>
      </c>
      <c r="BO112" s="38">
        <f t="shared" si="512"/>
        <v>0</v>
      </c>
      <c r="BP112" s="38">
        <f t="shared" si="512"/>
        <v>0</v>
      </c>
      <c r="BQ112" s="38">
        <f t="shared" si="512"/>
        <v>0</v>
      </c>
      <c r="BR112" s="38">
        <f t="shared" si="512"/>
        <v>1349</v>
      </c>
      <c r="BS112" s="38">
        <f t="shared" si="512"/>
        <v>1349</v>
      </c>
      <c r="BT112" s="38">
        <f t="shared" si="512"/>
        <v>91501.19</v>
      </c>
      <c r="BU112" s="38">
        <f t="shared" si="512"/>
        <v>0</v>
      </c>
      <c r="BV112" s="38">
        <f t="shared" si="512"/>
        <v>1349</v>
      </c>
      <c r="BW112" s="38">
        <f t="shared" si="512"/>
        <v>92850.19</v>
      </c>
      <c r="BX112" s="6"/>
      <c r="BY112" s="6"/>
      <c r="BZ112" s="6"/>
      <c r="CA112" s="6"/>
      <c r="CB112" s="6"/>
      <c r="CC112" s="6"/>
      <c r="CD112" s="6"/>
      <c r="CE112" s="6"/>
      <c r="CF112" s="6"/>
      <c r="CG112" s="6"/>
    </row>
    <row r="113" spans="1:85" ht="15.75">
      <c r="A113" s="41"/>
      <c r="B113" s="42"/>
      <c r="C113" s="43"/>
      <c r="D113" s="44" t="s">
        <v>67</v>
      </c>
      <c r="E113" s="45">
        <f t="shared" ref="E113:H113" si="513">SUM(E114)</f>
        <v>0</v>
      </c>
      <c r="F113" s="46">
        <f t="shared" si="513"/>
        <v>0</v>
      </c>
      <c r="G113" s="46">
        <f t="shared" si="513"/>
        <v>0</v>
      </c>
      <c r="H113" s="46">
        <f t="shared" si="513"/>
        <v>3000</v>
      </c>
      <c r="I113" s="47">
        <f t="shared" si="267"/>
        <v>0</v>
      </c>
      <c r="J113" s="47">
        <f t="shared" si="268"/>
        <v>0</v>
      </c>
      <c r="K113" s="46">
        <f t="shared" ref="K113:W113" si="514">SUM(K114)</f>
        <v>0</v>
      </c>
      <c r="L113" s="46">
        <f t="shared" si="514"/>
        <v>0</v>
      </c>
      <c r="M113" s="46">
        <f t="shared" si="514"/>
        <v>0</v>
      </c>
      <c r="N113" s="46">
        <f t="shared" si="514"/>
        <v>0</v>
      </c>
      <c r="O113" s="46">
        <f t="shared" si="514"/>
        <v>0</v>
      </c>
      <c r="P113" s="46">
        <f t="shared" si="514"/>
        <v>0</v>
      </c>
      <c r="Q113" s="46">
        <f t="shared" si="514"/>
        <v>0</v>
      </c>
      <c r="R113" s="46">
        <f t="shared" si="514"/>
        <v>0</v>
      </c>
      <c r="S113" s="46">
        <f t="shared" si="514"/>
        <v>0</v>
      </c>
      <c r="T113" s="46">
        <f t="shared" si="514"/>
        <v>0</v>
      </c>
      <c r="U113" s="46">
        <f t="shared" si="514"/>
        <v>0</v>
      </c>
      <c r="V113" s="46">
        <f t="shared" si="514"/>
        <v>0</v>
      </c>
      <c r="W113" s="46">
        <f t="shared" si="514"/>
        <v>0</v>
      </c>
      <c r="X113" s="50">
        <f t="shared" ref="X113:Y113" si="515">IF(O113&gt;0,O113/K113,0)</f>
        <v>0</v>
      </c>
      <c r="Y113" s="50">
        <f t="shared" si="515"/>
        <v>0</v>
      </c>
      <c r="Z113" s="50">
        <f t="shared" si="464"/>
        <v>0</v>
      </c>
      <c r="AA113" s="46">
        <f t="shared" ref="AA113:BW113" si="516">SUM(AA114)</f>
        <v>0</v>
      </c>
      <c r="AB113" s="46">
        <f t="shared" si="516"/>
        <v>0</v>
      </c>
      <c r="AC113" s="46">
        <f t="shared" si="516"/>
        <v>0</v>
      </c>
      <c r="AD113" s="46">
        <f t="shared" si="516"/>
        <v>0</v>
      </c>
      <c r="AE113" s="46">
        <f t="shared" si="516"/>
        <v>0</v>
      </c>
      <c r="AF113" s="46">
        <f t="shared" si="516"/>
        <v>0</v>
      </c>
      <c r="AG113" s="46">
        <f t="shared" si="516"/>
        <v>0</v>
      </c>
      <c r="AH113" s="46">
        <f t="shared" si="516"/>
        <v>0</v>
      </c>
      <c r="AI113" s="46">
        <f t="shared" si="516"/>
        <v>0</v>
      </c>
      <c r="AJ113" s="46">
        <f t="shared" si="516"/>
        <v>0</v>
      </c>
      <c r="AK113" s="46">
        <f t="shared" si="516"/>
        <v>0</v>
      </c>
      <c r="AL113" s="46">
        <f t="shared" si="516"/>
        <v>0</v>
      </c>
      <c r="AM113" s="46">
        <f t="shared" si="516"/>
        <v>0</v>
      </c>
      <c r="AN113" s="46">
        <f t="shared" si="516"/>
        <v>0</v>
      </c>
      <c r="AO113" s="46">
        <f t="shared" si="516"/>
        <v>0</v>
      </c>
      <c r="AP113" s="46">
        <f t="shared" si="516"/>
        <v>0</v>
      </c>
      <c r="AQ113" s="46">
        <f t="shared" si="516"/>
        <v>0</v>
      </c>
      <c r="AR113" s="46">
        <f t="shared" si="516"/>
        <v>0</v>
      </c>
      <c r="AS113" s="46">
        <f t="shared" si="516"/>
        <v>0</v>
      </c>
      <c r="AT113" s="46">
        <f t="shared" si="516"/>
        <v>0</v>
      </c>
      <c r="AU113" s="46">
        <f t="shared" si="516"/>
        <v>0</v>
      </c>
      <c r="AV113" s="46">
        <f t="shared" si="516"/>
        <v>0</v>
      </c>
      <c r="AW113" s="46">
        <f t="shared" si="516"/>
        <v>0</v>
      </c>
      <c r="AX113" s="46">
        <f t="shared" si="516"/>
        <v>0</v>
      </c>
      <c r="AY113" s="46">
        <f t="shared" si="516"/>
        <v>0</v>
      </c>
      <c r="AZ113" s="46">
        <f t="shared" si="516"/>
        <v>0</v>
      </c>
      <c r="BA113" s="46">
        <f t="shared" si="516"/>
        <v>0</v>
      </c>
      <c r="BB113" s="46">
        <f t="shared" si="516"/>
        <v>0</v>
      </c>
      <c r="BC113" s="46">
        <f t="shared" si="516"/>
        <v>0</v>
      </c>
      <c r="BD113" s="46">
        <f t="shared" si="516"/>
        <v>0</v>
      </c>
      <c r="BE113" s="46">
        <f t="shared" si="516"/>
        <v>0</v>
      </c>
      <c r="BF113" s="46">
        <f t="shared" si="516"/>
        <v>0</v>
      </c>
      <c r="BG113" s="46">
        <f t="shared" si="516"/>
        <v>0</v>
      </c>
      <c r="BH113" s="46">
        <f t="shared" si="516"/>
        <v>0</v>
      </c>
      <c r="BI113" s="46">
        <f t="shared" si="516"/>
        <v>0</v>
      </c>
      <c r="BJ113" s="46">
        <f t="shared" si="516"/>
        <v>0</v>
      </c>
      <c r="BK113" s="46">
        <f t="shared" si="516"/>
        <v>0</v>
      </c>
      <c r="BL113" s="46">
        <f t="shared" si="516"/>
        <v>0</v>
      </c>
      <c r="BM113" s="46">
        <f t="shared" si="516"/>
        <v>0</v>
      </c>
      <c r="BN113" s="46">
        <f t="shared" si="516"/>
        <v>0</v>
      </c>
      <c r="BO113" s="46">
        <f t="shared" si="516"/>
        <v>0</v>
      </c>
      <c r="BP113" s="46">
        <f t="shared" si="516"/>
        <v>0</v>
      </c>
      <c r="BQ113" s="46">
        <f t="shared" si="516"/>
        <v>0</v>
      </c>
      <c r="BR113" s="46">
        <f t="shared" si="516"/>
        <v>0</v>
      </c>
      <c r="BS113" s="46">
        <f t="shared" si="516"/>
        <v>0</v>
      </c>
      <c r="BT113" s="46">
        <f t="shared" si="516"/>
        <v>0</v>
      </c>
      <c r="BU113" s="46">
        <f t="shared" si="516"/>
        <v>0</v>
      </c>
      <c r="BV113" s="46">
        <f t="shared" si="516"/>
        <v>0</v>
      </c>
      <c r="BW113" s="46">
        <f t="shared" si="516"/>
        <v>0</v>
      </c>
      <c r="BX113" s="51"/>
      <c r="BY113" s="51"/>
      <c r="BZ113" s="51"/>
      <c r="CA113" s="51"/>
      <c r="CB113" s="51"/>
      <c r="CC113" s="51"/>
      <c r="CD113" s="51"/>
      <c r="CE113" s="51"/>
      <c r="CF113" s="51"/>
      <c r="CG113" s="51"/>
    </row>
    <row r="114" spans="1:85" ht="15.75" customHeight="1">
      <c r="A114" s="54"/>
      <c r="B114" s="53"/>
      <c r="C114" s="54" t="s">
        <v>69</v>
      </c>
      <c r="D114" s="106" t="s">
        <v>271</v>
      </c>
      <c r="E114" s="57">
        <v>0</v>
      </c>
      <c r="F114" s="99">
        <v>0</v>
      </c>
      <c r="G114" s="58">
        <f>E114-F114</f>
        <v>0</v>
      </c>
      <c r="H114" s="56">
        <v>3000</v>
      </c>
      <c r="I114" s="59">
        <f t="shared" si="267"/>
        <v>0</v>
      </c>
      <c r="J114" s="59">
        <f t="shared" si="268"/>
        <v>0</v>
      </c>
      <c r="K114" s="60">
        <v>0</v>
      </c>
      <c r="L114" s="60">
        <v>0</v>
      </c>
      <c r="M114" s="60">
        <v>0</v>
      </c>
      <c r="N114" s="60">
        <v>0</v>
      </c>
      <c r="O114" s="61">
        <f t="shared" ref="O114:Q114" si="517">AA114+AD114+AG114+AJ114+AM114+AP114+AS114+AV114+AY114+BB114+BE114+BH114</f>
        <v>0</v>
      </c>
      <c r="P114" s="61">
        <f t="shared" si="517"/>
        <v>0</v>
      </c>
      <c r="Q114" s="61">
        <f t="shared" si="517"/>
        <v>0</v>
      </c>
      <c r="R114" s="61">
        <f t="shared" ref="R114:T114" si="518">IF(BK114=0,SUM(AA114+AD114+AG114+AJ114+AM114+AP114+AS114+AV114+AY114+BB114+BE114+BH114),BK114)</f>
        <v>0</v>
      </c>
      <c r="S114" s="61">
        <f t="shared" si="518"/>
        <v>0</v>
      </c>
      <c r="T114" s="61">
        <f t="shared" si="518"/>
        <v>0</v>
      </c>
      <c r="U114" s="63">
        <f>K114-O114</f>
        <v>0</v>
      </c>
      <c r="V114" s="63">
        <f>L114-M114-S114</f>
        <v>0</v>
      </c>
      <c r="W114" s="63">
        <f>N114-Q114</f>
        <v>0</v>
      </c>
      <c r="X114" s="64">
        <f t="shared" ref="X114:Y114" si="519">IF(O114&gt;0,O114/K114,0)</f>
        <v>0</v>
      </c>
      <c r="Y114" s="64">
        <f t="shared" si="519"/>
        <v>0</v>
      </c>
      <c r="Z114" s="64">
        <f t="shared" si="464"/>
        <v>0</v>
      </c>
      <c r="AA114" s="65"/>
      <c r="AB114" s="65"/>
      <c r="AC114" s="65"/>
      <c r="AD114" s="65"/>
      <c r="AE114" s="66"/>
      <c r="AF114" s="66"/>
      <c r="AG114" s="66"/>
      <c r="AH114" s="66"/>
      <c r="AI114" s="65"/>
      <c r="AJ114" s="65"/>
      <c r="AK114" s="65"/>
      <c r="AL114" s="65"/>
      <c r="AM114" s="65"/>
      <c r="AN114" s="65"/>
      <c r="AO114" s="65"/>
      <c r="AP114" s="65"/>
      <c r="AQ114" s="65"/>
      <c r="AR114" s="65"/>
      <c r="AS114" s="65"/>
      <c r="AT114" s="65"/>
      <c r="AU114" s="65"/>
      <c r="AV114" s="65"/>
      <c r="AW114" s="65"/>
      <c r="AX114" s="65"/>
      <c r="AY114" s="65"/>
      <c r="AZ114" s="65"/>
      <c r="BA114" s="65"/>
      <c r="BB114" s="65"/>
      <c r="BC114" s="65"/>
      <c r="BD114" s="65"/>
      <c r="BE114" s="65"/>
      <c r="BF114" s="65"/>
      <c r="BG114" s="65"/>
      <c r="BH114" s="65"/>
      <c r="BI114" s="65"/>
      <c r="BJ114" s="65"/>
      <c r="BK114" s="65">
        <v>0</v>
      </c>
      <c r="BL114" s="65">
        <v>0</v>
      </c>
      <c r="BM114" s="65">
        <v>0</v>
      </c>
      <c r="BN114" s="65">
        <f>IF(O114-BK114&gt;0,O114-BK114,0)</f>
        <v>0</v>
      </c>
      <c r="BO114" s="67">
        <f>IF(Q114-BM114&gt;0,Q114-BM114,0)</f>
        <v>0</v>
      </c>
      <c r="BP114" s="65">
        <f>IF(BN114+BO114&gt;0,BN114+BO114,0)</f>
        <v>0</v>
      </c>
      <c r="BQ114" s="65">
        <f>IF(U114=0,0,U114)</f>
        <v>0</v>
      </c>
      <c r="BR114" s="65">
        <f>IF(W114=0,0,W114)</f>
        <v>0</v>
      </c>
      <c r="BS114" s="65">
        <f>IF(BQ114+BR114&gt;0,BQ114+BR114,0)</f>
        <v>0</v>
      </c>
      <c r="BT114" s="65">
        <f>IF(V114&gt;0,V114,0)</f>
        <v>0</v>
      </c>
      <c r="BU114" s="65">
        <f>IF(BP114=0,0,BP114)</f>
        <v>0</v>
      </c>
      <c r="BV114" s="65">
        <f>IF(BS114=0,0,BS114)</f>
        <v>0</v>
      </c>
      <c r="BW114" s="65">
        <f>IF(BP114+BT114+BV114&gt;0,BP114+BT114+BV114,0)</f>
        <v>0</v>
      </c>
      <c r="BX114" s="6"/>
      <c r="BY114" s="6"/>
      <c r="BZ114" s="6"/>
      <c r="CA114" s="6"/>
      <c r="CB114" s="6"/>
      <c r="CC114" s="6"/>
      <c r="CD114" s="6"/>
      <c r="CE114" s="6"/>
      <c r="CF114" s="6"/>
      <c r="CG114" s="6"/>
    </row>
    <row r="115" spans="1:85" ht="15.75">
      <c r="A115" s="75"/>
      <c r="B115" s="76"/>
      <c r="C115" s="77"/>
      <c r="D115" s="78" t="s">
        <v>83</v>
      </c>
      <c r="E115" s="45">
        <f t="shared" ref="E115:H115" si="520">SUM(E116)</f>
        <v>0</v>
      </c>
      <c r="F115" s="45">
        <f t="shared" si="520"/>
        <v>0</v>
      </c>
      <c r="G115" s="45">
        <f t="shared" si="520"/>
        <v>0</v>
      </c>
      <c r="H115" s="45">
        <f t="shared" si="520"/>
        <v>10000</v>
      </c>
      <c r="I115" s="47">
        <f t="shared" si="267"/>
        <v>0</v>
      </c>
      <c r="J115" s="47">
        <f t="shared" si="268"/>
        <v>0</v>
      </c>
      <c r="K115" s="45">
        <f t="shared" ref="K115:W115" si="521">SUM(K116)</f>
        <v>0</v>
      </c>
      <c r="L115" s="45">
        <f t="shared" si="521"/>
        <v>0</v>
      </c>
      <c r="M115" s="45">
        <f t="shared" si="521"/>
        <v>0</v>
      </c>
      <c r="N115" s="45">
        <f t="shared" si="521"/>
        <v>0</v>
      </c>
      <c r="O115" s="45">
        <f t="shared" si="521"/>
        <v>0</v>
      </c>
      <c r="P115" s="45">
        <f t="shared" si="521"/>
        <v>0</v>
      </c>
      <c r="Q115" s="45">
        <f t="shared" si="521"/>
        <v>0</v>
      </c>
      <c r="R115" s="45">
        <f t="shared" si="521"/>
        <v>0</v>
      </c>
      <c r="S115" s="45">
        <f t="shared" si="521"/>
        <v>0</v>
      </c>
      <c r="T115" s="45">
        <f t="shared" si="521"/>
        <v>0</v>
      </c>
      <c r="U115" s="45">
        <f t="shared" si="521"/>
        <v>0</v>
      </c>
      <c r="V115" s="45">
        <f t="shared" si="521"/>
        <v>0</v>
      </c>
      <c r="W115" s="45">
        <f t="shared" si="521"/>
        <v>0</v>
      </c>
      <c r="X115" s="50">
        <f t="shared" ref="X115:Y115" si="522">IF(O115&gt;0,O115/K115,0)</f>
        <v>0</v>
      </c>
      <c r="Y115" s="50">
        <f t="shared" si="522"/>
        <v>0</v>
      </c>
      <c r="Z115" s="50">
        <f t="shared" si="464"/>
        <v>0</v>
      </c>
      <c r="AA115" s="45">
        <f t="shared" ref="AA115:BW115" si="523">SUM(AA116)</f>
        <v>0</v>
      </c>
      <c r="AB115" s="45">
        <f t="shared" si="523"/>
        <v>0</v>
      </c>
      <c r="AC115" s="45">
        <f t="shared" si="523"/>
        <v>0</v>
      </c>
      <c r="AD115" s="45">
        <f t="shared" si="523"/>
        <v>0</v>
      </c>
      <c r="AE115" s="45">
        <f t="shared" si="523"/>
        <v>0</v>
      </c>
      <c r="AF115" s="45">
        <f t="shared" si="523"/>
        <v>0</v>
      </c>
      <c r="AG115" s="45">
        <f t="shared" si="523"/>
        <v>0</v>
      </c>
      <c r="AH115" s="45">
        <f t="shared" si="523"/>
        <v>0</v>
      </c>
      <c r="AI115" s="45">
        <f t="shared" si="523"/>
        <v>0</v>
      </c>
      <c r="AJ115" s="45">
        <f t="shared" si="523"/>
        <v>0</v>
      </c>
      <c r="AK115" s="45">
        <f t="shared" si="523"/>
        <v>0</v>
      </c>
      <c r="AL115" s="45">
        <f t="shared" si="523"/>
        <v>0</v>
      </c>
      <c r="AM115" s="45">
        <f t="shared" si="523"/>
        <v>0</v>
      </c>
      <c r="AN115" s="45">
        <f t="shared" si="523"/>
        <v>0</v>
      </c>
      <c r="AO115" s="45">
        <f t="shared" si="523"/>
        <v>0</v>
      </c>
      <c r="AP115" s="45">
        <f t="shared" si="523"/>
        <v>0</v>
      </c>
      <c r="AQ115" s="45">
        <f t="shared" si="523"/>
        <v>0</v>
      </c>
      <c r="AR115" s="45">
        <f t="shared" si="523"/>
        <v>0</v>
      </c>
      <c r="AS115" s="45">
        <f t="shared" si="523"/>
        <v>0</v>
      </c>
      <c r="AT115" s="45">
        <f t="shared" si="523"/>
        <v>0</v>
      </c>
      <c r="AU115" s="45">
        <f t="shared" si="523"/>
        <v>0</v>
      </c>
      <c r="AV115" s="45">
        <f t="shared" si="523"/>
        <v>0</v>
      </c>
      <c r="AW115" s="45">
        <f t="shared" si="523"/>
        <v>0</v>
      </c>
      <c r="AX115" s="45">
        <f t="shared" si="523"/>
        <v>0</v>
      </c>
      <c r="AY115" s="45">
        <f t="shared" si="523"/>
        <v>0</v>
      </c>
      <c r="AZ115" s="45">
        <f t="shared" si="523"/>
        <v>0</v>
      </c>
      <c r="BA115" s="45">
        <f t="shared" si="523"/>
        <v>0</v>
      </c>
      <c r="BB115" s="45">
        <f t="shared" si="523"/>
        <v>0</v>
      </c>
      <c r="BC115" s="45">
        <f t="shared" si="523"/>
        <v>0</v>
      </c>
      <c r="BD115" s="45">
        <f t="shared" si="523"/>
        <v>0</v>
      </c>
      <c r="BE115" s="45">
        <f t="shared" si="523"/>
        <v>0</v>
      </c>
      <c r="BF115" s="45">
        <f t="shared" si="523"/>
        <v>0</v>
      </c>
      <c r="BG115" s="45">
        <f t="shared" si="523"/>
        <v>0</v>
      </c>
      <c r="BH115" s="45">
        <f t="shared" si="523"/>
        <v>0</v>
      </c>
      <c r="BI115" s="45">
        <f t="shared" si="523"/>
        <v>0</v>
      </c>
      <c r="BJ115" s="45">
        <f t="shared" si="523"/>
        <v>0</v>
      </c>
      <c r="BK115" s="45">
        <f t="shared" si="523"/>
        <v>0</v>
      </c>
      <c r="BL115" s="45">
        <f t="shared" si="523"/>
        <v>0</v>
      </c>
      <c r="BM115" s="45">
        <f t="shared" si="523"/>
        <v>0</v>
      </c>
      <c r="BN115" s="45">
        <f t="shared" si="523"/>
        <v>0</v>
      </c>
      <c r="BO115" s="45">
        <f t="shared" si="523"/>
        <v>0</v>
      </c>
      <c r="BP115" s="45">
        <f t="shared" si="523"/>
        <v>0</v>
      </c>
      <c r="BQ115" s="45">
        <f t="shared" si="523"/>
        <v>0</v>
      </c>
      <c r="BR115" s="45">
        <f t="shared" si="523"/>
        <v>0</v>
      </c>
      <c r="BS115" s="45">
        <f t="shared" si="523"/>
        <v>0</v>
      </c>
      <c r="BT115" s="45">
        <f t="shared" si="523"/>
        <v>0</v>
      </c>
      <c r="BU115" s="45">
        <f t="shared" si="523"/>
        <v>0</v>
      </c>
      <c r="BV115" s="45">
        <f t="shared" si="523"/>
        <v>0</v>
      </c>
      <c r="BW115" s="45">
        <f t="shared" si="523"/>
        <v>0</v>
      </c>
      <c r="BX115" s="51"/>
      <c r="BY115" s="51"/>
      <c r="BZ115" s="51"/>
      <c r="CA115" s="51"/>
      <c r="CB115" s="51"/>
      <c r="CC115" s="51"/>
      <c r="CD115" s="51"/>
      <c r="CE115" s="51"/>
      <c r="CF115" s="51"/>
      <c r="CG115" s="51"/>
    </row>
    <row r="116" spans="1:85" ht="15.75" customHeight="1">
      <c r="A116" s="68"/>
      <c r="B116" s="103"/>
      <c r="C116" s="68" t="s">
        <v>93</v>
      </c>
      <c r="D116" s="105" t="s">
        <v>272</v>
      </c>
      <c r="E116" s="57">
        <v>0</v>
      </c>
      <c r="F116" s="57">
        <v>0</v>
      </c>
      <c r="G116" s="58">
        <f>E116-F116</f>
        <v>0</v>
      </c>
      <c r="H116" s="56">
        <v>10000</v>
      </c>
      <c r="I116" s="59">
        <f t="shared" si="267"/>
        <v>0</v>
      </c>
      <c r="J116" s="59">
        <f t="shared" si="268"/>
        <v>0</v>
      </c>
      <c r="K116" s="74">
        <v>0</v>
      </c>
      <c r="L116" s="74">
        <v>0</v>
      </c>
      <c r="M116" s="74">
        <v>0</v>
      </c>
      <c r="N116" s="74">
        <v>0</v>
      </c>
      <c r="O116" s="61">
        <f t="shared" ref="O116:Q116" si="524">AA116+AD116+AG116+AJ116+AM116+AP116+AS116+AV116+AY116+BB116+BE116+BH116</f>
        <v>0</v>
      </c>
      <c r="P116" s="61">
        <f t="shared" si="524"/>
        <v>0</v>
      </c>
      <c r="Q116" s="61">
        <f t="shared" si="524"/>
        <v>0</v>
      </c>
      <c r="R116" s="61">
        <f t="shared" ref="R116:T116" si="525">IF(BK116=0,SUM(AA116+AD116+AG116+AJ116+AM116+AP116+AS116+AV116+AY116+BB116+BE116+BH116),BK116)</f>
        <v>0</v>
      </c>
      <c r="S116" s="61">
        <f t="shared" si="525"/>
        <v>0</v>
      </c>
      <c r="T116" s="61">
        <f t="shared" si="525"/>
        <v>0</v>
      </c>
      <c r="U116" s="63">
        <f>K116-O116</f>
        <v>0</v>
      </c>
      <c r="V116" s="63">
        <f>L116-M116-S116</f>
        <v>0</v>
      </c>
      <c r="W116" s="63">
        <f>N116-Q116</f>
        <v>0</v>
      </c>
      <c r="X116" s="64">
        <f t="shared" ref="X116:Y116" si="526">IF(O116&gt;0,O116/K116,0)</f>
        <v>0</v>
      </c>
      <c r="Y116" s="64">
        <f t="shared" si="526"/>
        <v>0</v>
      </c>
      <c r="Z116" s="64">
        <f t="shared" si="464"/>
        <v>0</v>
      </c>
      <c r="AA116" s="65"/>
      <c r="AB116" s="65"/>
      <c r="AC116" s="65"/>
      <c r="AD116" s="65"/>
      <c r="AE116" s="66"/>
      <c r="AF116" s="66"/>
      <c r="AG116" s="66"/>
      <c r="AH116" s="66"/>
      <c r="AI116" s="65"/>
      <c r="AJ116" s="65"/>
      <c r="AK116" s="65"/>
      <c r="AL116" s="65"/>
      <c r="AM116" s="65"/>
      <c r="AN116" s="65"/>
      <c r="AO116" s="65"/>
      <c r="AP116" s="65"/>
      <c r="AQ116" s="65"/>
      <c r="AR116" s="65"/>
      <c r="AS116" s="65"/>
      <c r="AT116" s="65"/>
      <c r="AU116" s="65"/>
      <c r="AV116" s="65"/>
      <c r="AW116" s="65"/>
      <c r="AX116" s="65"/>
      <c r="AY116" s="65"/>
      <c r="AZ116" s="65"/>
      <c r="BA116" s="65"/>
      <c r="BB116" s="65"/>
      <c r="BC116" s="65"/>
      <c r="BD116" s="65"/>
      <c r="BE116" s="65"/>
      <c r="BF116" s="65"/>
      <c r="BG116" s="65"/>
      <c r="BH116" s="65"/>
      <c r="BI116" s="65"/>
      <c r="BJ116" s="65"/>
      <c r="BK116" s="65">
        <v>0</v>
      </c>
      <c r="BL116" s="65">
        <v>0</v>
      </c>
      <c r="BM116" s="65">
        <v>0</v>
      </c>
      <c r="BN116" s="65">
        <f>IF(O116-BK116&gt;0,O116-BK116,0)</f>
        <v>0</v>
      </c>
      <c r="BO116" s="67">
        <f>IF(Q116-BM116&gt;0,Q116-BM116,0)</f>
        <v>0</v>
      </c>
      <c r="BP116" s="65">
        <f>IF(BN116+BO116&gt;0,BN116+BO116,0)</f>
        <v>0</v>
      </c>
      <c r="BQ116" s="65">
        <f>IF(U116=0,0,U116)</f>
        <v>0</v>
      </c>
      <c r="BR116" s="65">
        <f>IF(W116=0,0,W116)</f>
        <v>0</v>
      </c>
      <c r="BS116" s="65">
        <f>IF(BQ116+BR116&gt;0,BQ116+BR116,0)</f>
        <v>0</v>
      </c>
      <c r="BT116" s="65">
        <f>IF(V116&gt;0,V116,0)</f>
        <v>0</v>
      </c>
      <c r="BU116" s="65">
        <f>IF(BP116=0,0,BP116)</f>
        <v>0</v>
      </c>
      <c r="BV116" s="65">
        <f>IF(BS116=0,0,BS116)</f>
        <v>0</v>
      </c>
      <c r="BW116" s="65">
        <f>IF(BP116+BT116+BV116&gt;0,BP116+BT116+BV116,0)</f>
        <v>0</v>
      </c>
      <c r="BX116" s="6"/>
      <c r="BY116" s="6"/>
      <c r="BZ116" s="6"/>
      <c r="CA116" s="6"/>
      <c r="CB116" s="6"/>
      <c r="CC116" s="6"/>
      <c r="CD116" s="6"/>
      <c r="CE116" s="6"/>
      <c r="CF116" s="6"/>
      <c r="CG116" s="6"/>
    </row>
    <row r="117" spans="1:85" ht="15.75">
      <c r="A117" s="75"/>
      <c r="B117" s="76"/>
      <c r="C117" s="77"/>
      <c r="D117" s="78" t="s">
        <v>137</v>
      </c>
      <c r="E117" s="45">
        <f t="shared" ref="E117:H117" si="527">SUM(E118:E120)</f>
        <v>0</v>
      </c>
      <c r="F117" s="46">
        <f t="shared" si="527"/>
        <v>0</v>
      </c>
      <c r="G117" s="46">
        <f t="shared" si="527"/>
        <v>0</v>
      </c>
      <c r="H117" s="46">
        <f t="shared" si="527"/>
        <v>0</v>
      </c>
      <c r="I117" s="47">
        <f t="shared" si="267"/>
        <v>0</v>
      </c>
      <c r="J117" s="47">
        <f t="shared" si="268"/>
        <v>0</v>
      </c>
      <c r="K117" s="46">
        <f t="shared" ref="K117:W117" si="528">SUM(K118:K120)</f>
        <v>0</v>
      </c>
      <c r="L117" s="46">
        <f t="shared" si="528"/>
        <v>0</v>
      </c>
      <c r="M117" s="46">
        <f t="shared" si="528"/>
        <v>0</v>
      </c>
      <c r="N117" s="46">
        <f t="shared" si="528"/>
        <v>0</v>
      </c>
      <c r="O117" s="46">
        <f t="shared" si="528"/>
        <v>0</v>
      </c>
      <c r="P117" s="46">
        <f t="shared" si="528"/>
        <v>0</v>
      </c>
      <c r="Q117" s="46">
        <f t="shared" si="528"/>
        <v>0</v>
      </c>
      <c r="R117" s="46">
        <f t="shared" si="528"/>
        <v>0</v>
      </c>
      <c r="S117" s="46">
        <f t="shared" si="528"/>
        <v>0</v>
      </c>
      <c r="T117" s="46">
        <f t="shared" si="528"/>
        <v>0</v>
      </c>
      <c r="U117" s="46">
        <f t="shared" si="528"/>
        <v>0</v>
      </c>
      <c r="V117" s="46">
        <f t="shared" si="528"/>
        <v>0</v>
      </c>
      <c r="W117" s="46">
        <f t="shared" si="528"/>
        <v>0</v>
      </c>
      <c r="X117" s="50">
        <f t="shared" ref="X117:Y117" si="529">IF(O117&gt;0,O117/K117,0)</f>
        <v>0</v>
      </c>
      <c r="Y117" s="50">
        <f t="shared" si="529"/>
        <v>0</v>
      </c>
      <c r="Z117" s="50">
        <f t="shared" si="464"/>
        <v>0</v>
      </c>
      <c r="AA117" s="46">
        <f t="shared" ref="AA117:BW117" si="530">SUM(AA118:AA120)</f>
        <v>0</v>
      </c>
      <c r="AB117" s="46">
        <f t="shared" si="530"/>
        <v>0</v>
      </c>
      <c r="AC117" s="46">
        <f t="shared" si="530"/>
        <v>0</v>
      </c>
      <c r="AD117" s="46">
        <f t="shared" si="530"/>
        <v>0</v>
      </c>
      <c r="AE117" s="46">
        <f t="shared" si="530"/>
        <v>0</v>
      </c>
      <c r="AF117" s="46">
        <f t="shared" si="530"/>
        <v>0</v>
      </c>
      <c r="AG117" s="46">
        <f t="shared" si="530"/>
        <v>0</v>
      </c>
      <c r="AH117" s="46">
        <f t="shared" si="530"/>
        <v>0</v>
      </c>
      <c r="AI117" s="46">
        <f t="shared" si="530"/>
        <v>0</v>
      </c>
      <c r="AJ117" s="46">
        <f t="shared" si="530"/>
        <v>0</v>
      </c>
      <c r="AK117" s="46">
        <f t="shared" si="530"/>
        <v>0</v>
      </c>
      <c r="AL117" s="46">
        <f t="shared" si="530"/>
        <v>0</v>
      </c>
      <c r="AM117" s="46">
        <f t="shared" si="530"/>
        <v>0</v>
      </c>
      <c r="AN117" s="46">
        <f t="shared" si="530"/>
        <v>0</v>
      </c>
      <c r="AO117" s="46">
        <f t="shared" si="530"/>
        <v>0</v>
      </c>
      <c r="AP117" s="46">
        <f t="shared" si="530"/>
        <v>0</v>
      </c>
      <c r="AQ117" s="46">
        <f t="shared" si="530"/>
        <v>0</v>
      </c>
      <c r="AR117" s="46">
        <f t="shared" si="530"/>
        <v>0</v>
      </c>
      <c r="AS117" s="46">
        <f t="shared" si="530"/>
        <v>0</v>
      </c>
      <c r="AT117" s="46">
        <f t="shared" si="530"/>
        <v>0</v>
      </c>
      <c r="AU117" s="46">
        <f t="shared" si="530"/>
        <v>0</v>
      </c>
      <c r="AV117" s="46">
        <f t="shared" si="530"/>
        <v>0</v>
      </c>
      <c r="AW117" s="46">
        <f t="shared" si="530"/>
        <v>0</v>
      </c>
      <c r="AX117" s="46">
        <f t="shared" si="530"/>
        <v>0</v>
      </c>
      <c r="AY117" s="46">
        <f t="shared" si="530"/>
        <v>0</v>
      </c>
      <c r="AZ117" s="46">
        <f t="shared" si="530"/>
        <v>0</v>
      </c>
      <c r="BA117" s="46">
        <f t="shared" si="530"/>
        <v>0</v>
      </c>
      <c r="BB117" s="46">
        <f t="shared" si="530"/>
        <v>0</v>
      </c>
      <c r="BC117" s="46">
        <f t="shared" si="530"/>
        <v>0</v>
      </c>
      <c r="BD117" s="46">
        <f t="shared" si="530"/>
        <v>0</v>
      </c>
      <c r="BE117" s="46">
        <f t="shared" si="530"/>
        <v>0</v>
      </c>
      <c r="BF117" s="46">
        <f t="shared" si="530"/>
        <v>0</v>
      </c>
      <c r="BG117" s="46">
        <f t="shared" si="530"/>
        <v>0</v>
      </c>
      <c r="BH117" s="46">
        <f t="shared" si="530"/>
        <v>0</v>
      </c>
      <c r="BI117" s="46">
        <f t="shared" si="530"/>
        <v>0</v>
      </c>
      <c r="BJ117" s="46">
        <f t="shared" si="530"/>
        <v>0</v>
      </c>
      <c r="BK117" s="46">
        <f t="shared" si="530"/>
        <v>0</v>
      </c>
      <c r="BL117" s="46">
        <f t="shared" si="530"/>
        <v>0</v>
      </c>
      <c r="BM117" s="46">
        <f t="shared" si="530"/>
        <v>0</v>
      </c>
      <c r="BN117" s="46">
        <f t="shared" si="530"/>
        <v>0</v>
      </c>
      <c r="BO117" s="46">
        <f t="shared" si="530"/>
        <v>0</v>
      </c>
      <c r="BP117" s="46">
        <f t="shared" si="530"/>
        <v>0</v>
      </c>
      <c r="BQ117" s="46">
        <f t="shared" si="530"/>
        <v>0</v>
      </c>
      <c r="BR117" s="46">
        <f t="shared" si="530"/>
        <v>0</v>
      </c>
      <c r="BS117" s="46">
        <f t="shared" si="530"/>
        <v>0</v>
      </c>
      <c r="BT117" s="46">
        <f t="shared" si="530"/>
        <v>0</v>
      </c>
      <c r="BU117" s="46">
        <f t="shared" si="530"/>
        <v>0</v>
      </c>
      <c r="BV117" s="46">
        <f t="shared" si="530"/>
        <v>0</v>
      </c>
      <c r="BW117" s="46">
        <f t="shared" si="530"/>
        <v>0</v>
      </c>
      <c r="BX117" s="51"/>
      <c r="BY117" s="51"/>
      <c r="BZ117" s="51"/>
      <c r="CA117" s="51"/>
      <c r="CB117" s="51"/>
      <c r="CC117" s="51"/>
      <c r="CD117" s="51"/>
      <c r="CE117" s="51"/>
      <c r="CF117" s="51"/>
      <c r="CG117" s="51"/>
    </row>
    <row r="118" spans="1:85" ht="15.75" customHeight="1">
      <c r="A118" s="71"/>
      <c r="B118" s="103"/>
      <c r="C118" s="68" t="s">
        <v>142</v>
      </c>
      <c r="D118" s="70" t="s">
        <v>273</v>
      </c>
      <c r="E118" s="187">
        <v>0</v>
      </c>
      <c r="F118" s="187">
        <v>0</v>
      </c>
      <c r="G118" s="58">
        <f t="shared" ref="G118:G120" si="531">E118-F118</f>
        <v>0</v>
      </c>
      <c r="H118" s="187">
        <v>0</v>
      </c>
      <c r="I118" s="59">
        <f t="shared" si="267"/>
        <v>0</v>
      </c>
      <c r="J118" s="59">
        <f t="shared" si="268"/>
        <v>0</v>
      </c>
      <c r="K118" s="74">
        <v>0</v>
      </c>
      <c r="L118" s="74">
        <v>0</v>
      </c>
      <c r="M118" s="74">
        <v>0</v>
      </c>
      <c r="N118" s="74">
        <v>0</v>
      </c>
      <c r="O118" s="61">
        <f t="shared" ref="O118:Q118" si="532">AA118+AD118+AG118+AJ118+AM118+AP118+AS118+AV118+AY118+BB118+BE118+BH118</f>
        <v>0</v>
      </c>
      <c r="P118" s="61">
        <f t="shared" si="532"/>
        <v>0</v>
      </c>
      <c r="Q118" s="61">
        <f t="shared" si="532"/>
        <v>0</v>
      </c>
      <c r="R118" s="61">
        <f t="shared" ref="R118:T118" si="533">IF(BK118=0,SUM(AA118+AD118+AG118+AJ118+AM118+AP118+AS118+AV118+AY118+BB118+BE118+BH118),BK118)</f>
        <v>0</v>
      </c>
      <c r="S118" s="61">
        <f t="shared" si="533"/>
        <v>0</v>
      </c>
      <c r="T118" s="61">
        <f t="shared" si="533"/>
        <v>0</v>
      </c>
      <c r="U118" s="208">
        <f t="shared" ref="U118:U120" si="534">K118-O118</f>
        <v>0</v>
      </c>
      <c r="V118" s="63">
        <f t="shared" ref="V118:V120" si="535">L118-M118-S118</f>
        <v>0</v>
      </c>
      <c r="W118" s="63">
        <f t="shared" ref="W118:W120" si="536">N118-Q118</f>
        <v>0</v>
      </c>
      <c r="X118" s="64">
        <f t="shared" ref="X118:Y118" si="537">IF(O118&gt;0,O118/K118,0)</f>
        <v>0</v>
      </c>
      <c r="Y118" s="64">
        <f t="shared" si="537"/>
        <v>0</v>
      </c>
      <c r="Z118" s="64">
        <f t="shared" si="464"/>
        <v>0</v>
      </c>
      <c r="AA118" s="65"/>
      <c r="AB118" s="65"/>
      <c r="AC118" s="65"/>
      <c r="AD118" s="65"/>
      <c r="AE118" s="66"/>
      <c r="AF118" s="66"/>
      <c r="AG118" s="66"/>
      <c r="AH118" s="66"/>
      <c r="AI118" s="65"/>
      <c r="AJ118" s="65"/>
      <c r="AK118" s="65"/>
      <c r="AL118" s="65"/>
      <c r="AM118" s="65"/>
      <c r="AN118" s="65"/>
      <c r="AO118" s="65"/>
      <c r="AP118" s="65"/>
      <c r="AQ118" s="65"/>
      <c r="AR118" s="65"/>
      <c r="AS118" s="65"/>
      <c r="AT118" s="65"/>
      <c r="AU118" s="65"/>
      <c r="AV118" s="65"/>
      <c r="AW118" s="65"/>
      <c r="AX118" s="65"/>
      <c r="AY118" s="65"/>
      <c r="AZ118" s="65"/>
      <c r="BA118" s="65"/>
      <c r="BB118" s="65"/>
      <c r="BC118" s="65"/>
      <c r="BD118" s="65"/>
      <c r="BE118" s="65"/>
      <c r="BF118" s="65"/>
      <c r="BG118" s="65"/>
      <c r="BH118" s="65"/>
      <c r="BI118" s="65"/>
      <c r="BJ118" s="65"/>
      <c r="BK118" s="65">
        <v>0</v>
      </c>
      <c r="BL118" s="65">
        <v>0</v>
      </c>
      <c r="BM118" s="65">
        <v>0</v>
      </c>
      <c r="BN118" s="65">
        <f t="shared" ref="BN118:BN120" si="538">IF(O118-BK118&gt;0,O118-BK118,0)</f>
        <v>0</v>
      </c>
      <c r="BO118" s="67">
        <f t="shared" ref="BO118:BO120" si="539">IF(Q118-BM118&gt;0,Q118-BM118,0)</f>
        <v>0</v>
      </c>
      <c r="BP118" s="65">
        <f t="shared" ref="BP118:BP120" si="540">IF(BN118+BO118&gt;0,BN118+BO118,0)</f>
        <v>0</v>
      </c>
      <c r="BQ118" s="65">
        <f t="shared" ref="BQ118:BQ120" si="541">IF(U118=0,0,U118)</f>
        <v>0</v>
      </c>
      <c r="BR118" s="65">
        <f t="shared" ref="BR118:BR120" si="542">IF(W118=0,0,W118)</f>
        <v>0</v>
      </c>
      <c r="BS118" s="65">
        <f t="shared" ref="BS118:BS120" si="543">IF(BQ118+BR118&gt;0,BQ118+BR118,0)</f>
        <v>0</v>
      </c>
      <c r="BT118" s="65">
        <f t="shared" ref="BT118:BT120" si="544">IF(V118&gt;0,V118,0)</f>
        <v>0</v>
      </c>
      <c r="BU118" s="65">
        <f t="shared" ref="BU118:BU120" si="545">IF(BP118=0,0,BP118)</f>
        <v>0</v>
      </c>
      <c r="BV118" s="65">
        <f t="shared" ref="BV118:BV120" si="546">IF(BS118=0,0,BS118)</f>
        <v>0</v>
      </c>
      <c r="BW118" s="65">
        <f t="shared" ref="BW118:BW120" si="547">IF(BP118+BT118+BV118&gt;0,BP118+BT118+BV118,0)</f>
        <v>0</v>
      </c>
      <c r="BX118" s="6"/>
      <c r="BY118" s="6"/>
      <c r="BZ118" s="6"/>
      <c r="CA118" s="6"/>
      <c r="CB118" s="6"/>
      <c r="CC118" s="6"/>
      <c r="CD118" s="6"/>
      <c r="CE118" s="6"/>
      <c r="CF118" s="6"/>
      <c r="CG118" s="6"/>
    </row>
    <row r="119" spans="1:85" ht="15.75" customHeight="1">
      <c r="A119" s="121"/>
      <c r="B119" s="169"/>
      <c r="C119" s="68" t="s">
        <v>148</v>
      </c>
      <c r="D119" s="122" t="s">
        <v>274</v>
      </c>
      <c r="E119" s="192">
        <v>0</v>
      </c>
      <c r="F119" s="192">
        <v>0</v>
      </c>
      <c r="G119" s="58">
        <f t="shared" si="531"/>
        <v>0</v>
      </c>
      <c r="H119" s="192">
        <v>0</v>
      </c>
      <c r="I119" s="59">
        <f t="shared" si="267"/>
        <v>0</v>
      </c>
      <c r="J119" s="59">
        <f t="shared" si="268"/>
        <v>0</v>
      </c>
      <c r="K119" s="74">
        <v>0</v>
      </c>
      <c r="L119" s="74">
        <v>0</v>
      </c>
      <c r="M119" s="74">
        <v>0</v>
      </c>
      <c r="N119" s="74">
        <v>0</v>
      </c>
      <c r="O119" s="61">
        <f t="shared" ref="O119:Q119" si="548">AA119+AD119+AG119+AJ119+AM119+AP119+AS119+AV119+AY119+BB119+BE119+BH119</f>
        <v>0</v>
      </c>
      <c r="P119" s="61">
        <f t="shared" si="548"/>
        <v>0</v>
      </c>
      <c r="Q119" s="61">
        <f t="shared" si="548"/>
        <v>0</v>
      </c>
      <c r="R119" s="61">
        <f t="shared" ref="R119:T119" si="549">IF(BK119=0,SUM(AA119+AD119+AG119+AJ119+AM119+AP119+AS119+AV119+AY119+BB119+BE119+BH119),BK119)</f>
        <v>0</v>
      </c>
      <c r="S119" s="61">
        <f t="shared" si="549"/>
        <v>0</v>
      </c>
      <c r="T119" s="61">
        <f t="shared" si="549"/>
        <v>0</v>
      </c>
      <c r="U119" s="208">
        <f t="shared" si="534"/>
        <v>0</v>
      </c>
      <c r="V119" s="63">
        <f t="shared" si="535"/>
        <v>0</v>
      </c>
      <c r="W119" s="63">
        <f t="shared" si="536"/>
        <v>0</v>
      </c>
      <c r="X119" s="64">
        <f t="shared" ref="X119:Y119" si="550">IF(O119&gt;0,O119/K119,0)</f>
        <v>0</v>
      </c>
      <c r="Y119" s="64">
        <f t="shared" si="550"/>
        <v>0</v>
      </c>
      <c r="Z119" s="64">
        <f t="shared" si="464"/>
        <v>0</v>
      </c>
      <c r="AA119" s="65"/>
      <c r="AB119" s="65"/>
      <c r="AC119" s="65"/>
      <c r="AD119" s="65"/>
      <c r="AE119" s="66"/>
      <c r="AF119" s="66"/>
      <c r="AG119" s="66"/>
      <c r="AH119" s="66"/>
      <c r="AI119" s="65"/>
      <c r="AJ119" s="65"/>
      <c r="AK119" s="65"/>
      <c r="AL119" s="65"/>
      <c r="AM119" s="65"/>
      <c r="AN119" s="65"/>
      <c r="AO119" s="65"/>
      <c r="AP119" s="65"/>
      <c r="AQ119" s="65"/>
      <c r="AR119" s="65"/>
      <c r="AS119" s="65"/>
      <c r="AT119" s="65"/>
      <c r="AU119" s="65"/>
      <c r="AV119" s="65"/>
      <c r="AW119" s="65"/>
      <c r="AX119" s="65"/>
      <c r="AY119" s="65"/>
      <c r="AZ119" s="65"/>
      <c r="BA119" s="65"/>
      <c r="BB119" s="65"/>
      <c r="BC119" s="65"/>
      <c r="BD119" s="65"/>
      <c r="BE119" s="65"/>
      <c r="BF119" s="65"/>
      <c r="BG119" s="65"/>
      <c r="BH119" s="65"/>
      <c r="BI119" s="65"/>
      <c r="BJ119" s="65"/>
      <c r="BK119" s="65">
        <v>0</v>
      </c>
      <c r="BL119" s="65">
        <v>0</v>
      </c>
      <c r="BM119" s="65">
        <v>0</v>
      </c>
      <c r="BN119" s="65">
        <f t="shared" si="538"/>
        <v>0</v>
      </c>
      <c r="BO119" s="67">
        <f t="shared" si="539"/>
        <v>0</v>
      </c>
      <c r="BP119" s="65">
        <f t="shared" si="540"/>
        <v>0</v>
      </c>
      <c r="BQ119" s="65">
        <f t="shared" si="541"/>
        <v>0</v>
      </c>
      <c r="BR119" s="65">
        <f t="shared" si="542"/>
        <v>0</v>
      </c>
      <c r="BS119" s="65">
        <f t="shared" si="543"/>
        <v>0</v>
      </c>
      <c r="BT119" s="65">
        <f t="shared" si="544"/>
        <v>0</v>
      </c>
      <c r="BU119" s="65">
        <f t="shared" si="545"/>
        <v>0</v>
      </c>
      <c r="BV119" s="65">
        <f t="shared" si="546"/>
        <v>0</v>
      </c>
      <c r="BW119" s="65">
        <f t="shared" si="547"/>
        <v>0</v>
      </c>
      <c r="BX119" s="6"/>
      <c r="BY119" s="6"/>
      <c r="BZ119" s="6"/>
      <c r="CA119" s="6"/>
      <c r="CB119" s="6"/>
      <c r="CC119" s="6"/>
      <c r="CD119" s="6"/>
      <c r="CE119" s="6"/>
      <c r="CF119" s="6"/>
      <c r="CG119" s="6"/>
    </row>
    <row r="120" spans="1:85" ht="15.75" customHeight="1">
      <c r="A120" s="119"/>
      <c r="B120" s="207"/>
      <c r="C120" s="71" t="s">
        <v>163</v>
      </c>
      <c r="D120" s="73" t="s">
        <v>275</v>
      </c>
      <c r="E120" s="57">
        <v>0</v>
      </c>
      <c r="F120" s="57">
        <v>0</v>
      </c>
      <c r="G120" s="58">
        <f t="shared" si="531"/>
        <v>0</v>
      </c>
      <c r="H120" s="57">
        <v>0</v>
      </c>
      <c r="I120" s="59">
        <f t="shared" si="267"/>
        <v>0</v>
      </c>
      <c r="J120" s="59">
        <f t="shared" si="268"/>
        <v>0</v>
      </c>
      <c r="K120" s="74">
        <v>0</v>
      </c>
      <c r="L120" s="74">
        <v>0</v>
      </c>
      <c r="M120" s="74">
        <v>0</v>
      </c>
      <c r="N120" s="74">
        <v>0</v>
      </c>
      <c r="O120" s="61">
        <f t="shared" ref="O120:Q120" si="551">AA120+AD120+AG120+AJ120+AM120+AP120+AS120+AV120+AY120+BB120+BE120+BH120</f>
        <v>0</v>
      </c>
      <c r="P120" s="61">
        <f t="shared" si="551"/>
        <v>0</v>
      </c>
      <c r="Q120" s="61">
        <f t="shared" si="551"/>
        <v>0</v>
      </c>
      <c r="R120" s="61">
        <f t="shared" ref="R120:T120" si="552">IF(BK120=0,SUM(AA120+AD120+AG120+AJ120+AM120+AP120+AS120+AV120+AY120+BB120+BE120+BH120),BK120)</f>
        <v>0</v>
      </c>
      <c r="S120" s="61">
        <f t="shared" si="552"/>
        <v>0</v>
      </c>
      <c r="T120" s="61">
        <f t="shared" si="552"/>
        <v>0</v>
      </c>
      <c r="U120" s="208">
        <f t="shared" si="534"/>
        <v>0</v>
      </c>
      <c r="V120" s="63">
        <f t="shared" si="535"/>
        <v>0</v>
      </c>
      <c r="W120" s="63">
        <f t="shared" si="536"/>
        <v>0</v>
      </c>
      <c r="X120" s="64">
        <f t="shared" ref="X120:Y120" si="553">IF(O120&gt;0,O120/K120,0)</f>
        <v>0</v>
      </c>
      <c r="Y120" s="64">
        <f t="shared" si="553"/>
        <v>0</v>
      </c>
      <c r="Z120" s="64">
        <f t="shared" si="464"/>
        <v>0</v>
      </c>
      <c r="AA120" s="65"/>
      <c r="AB120" s="65"/>
      <c r="AC120" s="65"/>
      <c r="AD120" s="65"/>
      <c r="AE120" s="66"/>
      <c r="AF120" s="66"/>
      <c r="AG120" s="66"/>
      <c r="AH120" s="66"/>
      <c r="AI120" s="65"/>
      <c r="AJ120" s="65"/>
      <c r="AK120" s="65"/>
      <c r="AL120" s="65"/>
      <c r="AM120" s="65"/>
      <c r="AN120" s="65"/>
      <c r="AO120" s="65"/>
      <c r="AP120" s="65"/>
      <c r="AQ120" s="65"/>
      <c r="AR120" s="65"/>
      <c r="AS120" s="65"/>
      <c r="AT120" s="65"/>
      <c r="AU120" s="65"/>
      <c r="AV120" s="65"/>
      <c r="AW120" s="65"/>
      <c r="AX120" s="65"/>
      <c r="AY120" s="65"/>
      <c r="AZ120" s="65"/>
      <c r="BA120" s="65"/>
      <c r="BB120" s="65"/>
      <c r="BC120" s="65"/>
      <c r="BD120" s="65"/>
      <c r="BE120" s="65"/>
      <c r="BF120" s="65"/>
      <c r="BG120" s="65"/>
      <c r="BH120" s="65"/>
      <c r="BI120" s="65"/>
      <c r="BJ120" s="65"/>
      <c r="BK120" s="65">
        <v>0</v>
      </c>
      <c r="BL120" s="65">
        <v>0</v>
      </c>
      <c r="BM120" s="65">
        <v>0</v>
      </c>
      <c r="BN120" s="65">
        <f t="shared" si="538"/>
        <v>0</v>
      </c>
      <c r="BO120" s="67">
        <f t="shared" si="539"/>
        <v>0</v>
      </c>
      <c r="BP120" s="65">
        <f t="shared" si="540"/>
        <v>0</v>
      </c>
      <c r="BQ120" s="65">
        <f t="shared" si="541"/>
        <v>0</v>
      </c>
      <c r="BR120" s="65">
        <f t="shared" si="542"/>
        <v>0</v>
      </c>
      <c r="BS120" s="65">
        <f t="shared" si="543"/>
        <v>0</v>
      </c>
      <c r="BT120" s="65">
        <f t="shared" si="544"/>
        <v>0</v>
      </c>
      <c r="BU120" s="65">
        <f t="shared" si="545"/>
        <v>0</v>
      </c>
      <c r="BV120" s="65">
        <f t="shared" si="546"/>
        <v>0</v>
      </c>
      <c r="BW120" s="65">
        <f t="shared" si="547"/>
        <v>0</v>
      </c>
      <c r="BX120" s="6"/>
      <c r="BY120" s="6"/>
      <c r="BZ120" s="6"/>
      <c r="CA120" s="6"/>
      <c r="CB120" s="6"/>
      <c r="CC120" s="6"/>
      <c r="CD120" s="6"/>
      <c r="CE120" s="6"/>
      <c r="CF120" s="6"/>
      <c r="CG120" s="6"/>
    </row>
    <row r="121" spans="1:85" ht="15.75">
      <c r="A121" s="75"/>
      <c r="B121" s="76"/>
      <c r="C121" s="77"/>
      <c r="D121" s="78" t="s">
        <v>168</v>
      </c>
      <c r="E121" s="45">
        <f t="shared" ref="E121:H121" si="554">SUM(E122:E125)</f>
        <v>0</v>
      </c>
      <c r="F121" s="45">
        <f t="shared" si="554"/>
        <v>0</v>
      </c>
      <c r="G121" s="45">
        <f t="shared" si="554"/>
        <v>0</v>
      </c>
      <c r="H121" s="45">
        <f t="shared" si="554"/>
        <v>430000</v>
      </c>
      <c r="I121" s="47">
        <f t="shared" si="267"/>
        <v>0</v>
      </c>
      <c r="J121" s="47">
        <f t="shared" si="268"/>
        <v>0</v>
      </c>
      <c r="K121" s="45">
        <f t="shared" ref="K121:W121" si="555">SUM(K122:K125)</f>
        <v>0</v>
      </c>
      <c r="L121" s="45">
        <f t="shared" si="555"/>
        <v>0</v>
      </c>
      <c r="M121" s="45">
        <f t="shared" si="555"/>
        <v>0</v>
      </c>
      <c r="N121" s="45">
        <f t="shared" si="555"/>
        <v>0</v>
      </c>
      <c r="O121" s="45">
        <f t="shared" si="555"/>
        <v>0</v>
      </c>
      <c r="P121" s="45">
        <f t="shared" si="555"/>
        <v>0</v>
      </c>
      <c r="Q121" s="45">
        <f t="shared" si="555"/>
        <v>0</v>
      </c>
      <c r="R121" s="45">
        <f t="shared" si="555"/>
        <v>0</v>
      </c>
      <c r="S121" s="45">
        <f t="shared" si="555"/>
        <v>0</v>
      </c>
      <c r="T121" s="45">
        <f t="shared" si="555"/>
        <v>0</v>
      </c>
      <c r="U121" s="45">
        <f t="shared" si="555"/>
        <v>0</v>
      </c>
      <c r="V121" s="45">
        <f t="shared" si="555"/>
        <v>0</v>
      </c>
      <c r="W121" s="45">
        <f t="shared" si="555"/>
        <v>0</v>
      </c>
      <c r="X121" s="50">
        <f t="shared" ref="X121:Y121" si="556">IF(O121&gt;0,O121/K121,0)</f>
        <v>0</v>
      </c>
      <c r="Y121" s="50">
        <f t="shared" si="556"/>
        <v>0</v>
      </c>
      <c r="Z121" s="50">
        <f t="shared" si="464"/>
        <v>0</v>
      </c>
      <c r="AA121" s="45">
        <f t="shared" ref="AA121:BW121" si="557">SUM(AA122:AA125)</f>
        <v>0</v>
      </c>
      <c r="AB121" s="45">
        <f t="shared" si="557"/>
        <v>0</v>
      </c>
      <c r="AC121" s="45">
        <f t="shared" si="557"/>
        <v>0</v>
      </c>
      <c r="AD121" s="45">
        <f t="shared" si="557"/>
        <v>0</v>
      </c>
      <c r="AE121" s="45">
        <f t="shared" si="557"/>
        <v>0</v>
      </c>
      <c r="AF121" s="45">
        <f t="shared" si="557"/>
        <v>0</v>
      </c>
      <c r="AG121" s="45">
        <f t="shared" si="557"/>
        <v>0</v>
      </c>
      <c r="AH121" s="45">
        <f t="shared" si="557"/>
        <v>0</v>
      </c>
      <c r="AI121" s="45">
        <f t="shared" si="557"/>
        <v>0</v>
      </c>
      <c r="AJ121" s="45">
        <f t="shared" si="557"/>
        <v>0</v>
      </c>
      <c r="AK121" s="45">
        <f t="shared" si="557"/>
        <v>0</v>
      </c>
      <c r="AL121" s="45">
        <f t="shared" si="557"/>
        <v>0</v>
      </c>
      <c r="AM121" s="45">
        <f t="shared" si="557"/>
        <v>0</v>
      </c>
      <c r="AN121" s="45">
        <f t="shared" si="557"/>
        <v>0</v>
      </c>
      <c r="AO121" s="45">
        <f t="shared" si="557"/>
        <v>0</v>
      </c>
      <c r="AP121" s="45">
        <f t="shared" si="557"/>
        <v>0</v>
      </c>
      <c r="AQ121" s="45">
        <f t="shared" si="557"/>
        <v>0</v>
      </c>
      <c r="AR121" s="45">
        <f t="shared" si="557"/>
        <v>0</v>
      </c>
      <c r="AS121" s="45">
        <f t="shared" si="557"/>
        <v>0</v>
      </c>
      <c r="AT121" s="45">
        <f t="shared" si="557"/>
        <v>0</v>
      </c>
      <c r="AU121" s="45">
        <f t="shared" si="557"/>
        <v>0</v>
      </c>
      <c r="AV121" s="45">
        <f t="shared" si="557"/>
        <v>0</v>
      </c>
      <c r="AW121" s="45">
        <f t="shared" si="557"/>
        <v>0</v>
      </c>
      <c r="AX121" s="45">
        <f t="shared" si="557"/>
        <v>0</v>
      </c>
      <c r="AY121" s="45">
        <f t="shared" si="557"/>
        <v>0</v>
      </c>
      <c r="AZ121" s="45">
        <f t="shared" si="557"/>
        <v>0</v>
      </c>
      <c r="BA121" s="45">
        <f t="shared" si="557"/>
        <v>0</v>
      </c>
      <c r="BB121" s="45">
        <f t="shared" si="557"/>
        <v>0</v>
      </c>
      <c r="BC121" s="45">
        <f t="shared" si="557"/>
        <v>0</v>
      </c>
      <c r="BD121" s="45">
        <f t="shared" si="557"/>
        <v>0</v>
      </c>
      <c r="BE121" s="45">
        <f t="shared" si="557"/>
        <v>0</v>
      </c>
      <c r="BF121" s="45">
        <f t="shared" si="557"/>
        <v>0</v>
      </c>
      <c r="BG121" s="45">
        <f t="shared" si="557"/>
        <v>0</v>
      </c>
      <c r="BH121" s="45">
        <f t="shared" si="557"/>
        <v>0</v>
      </c>
      <c r="BI121" s="45">
        <f t="shared" si="557"/>
        <v>0</v>
      </c>
      <c r="BJ121" s="45">
        <f t="shared" si="557"/>
        <v>0</v>
      </c>
      <c r="BK121" s="45">
        <f t="shared" si="557"/>
        <v>0</v>
      </c>
      <c r="BL121" s="45">
        <f t="shared" si="557"/>
        <v>0</v>
      </c>
      <c r="BM121" s="45">
        <f t="shared" si="557"/>
        <v>0</v>
      </c>
      <c r="BN121" s="45">
        <f t="shared" si="557"/>
        <v>0</v>
      </c>
      <c r="BO121" s="45">
        <f t="shared" si="557"/>
        <v>0</v>
      </c>
      <c r="BP121" s="45">
        <f t="shared" si="557"/>
        <v>0</v>
      </c>
      <c r="BQ121" s="45">
        <f t="shared" si="557"/>
        <v>0</v>
      </c>
      <c r="BR121" s="45">
        <f t="shared" si="557"/>
        <v>0</v>
      </c>
      <c r="BS121" s="45">
        <f t="shared" si="557"/>
        <v>0</v>
      </c>
      <c r="BT121" s="45">
        <f t="shared" si="557"/>
        <v>0</v>
      </c>
      <c r="BU121" s="45">
        <f t="shared" si="557"/>
        <v>0</v>
      </c>
      <c r="BV121" s="45">
        <f t="shared" si="557"/>
        <v>0</v>
      </c>
      <c r="BW121" s="45">
        <f t="shared" si="557"/>
        <v>0</v>
      </c>
      <c r="BX121" s="51"/>
      <c r="BY121" s="51"/>
      <c r="BZ121" s="51"/>
      <c r="CA121" s="51"/>
      <c r="CB121" s="51"/>
      <c r="CC121" s="51"/>
      <c r="CD121" s="51"/>
      <c r="CE121" s="51"/>
      <c r="CF121" s="51"/>
      <c r="CG121" s="51"/>
    </row>
    <row r="122" spans="1:85" ht="15.75" customHeight="1">
      <c r="A122" s="121"/>
      <c r="B122" s="168"/>
      <c r="C122" s="68" t="s">
        <v>170</v>
      </c>
      <c r="D122" s="70" t="s">
        <v>276</v>
      </c>
      <c r="E122" s="187">
        <v>0</v>
      </c>
      <c r="F122" s="187">
        <v>0</v>
      </c>
      <c r="G122" s="58">
        <f t="shared" ref="G122:G125" si="558">E122-F122</f>
        <v>0</v>
      </c>
      <c r="H122" s="187">
        <v>0</v>
      </c>
      <c r="I122" s="59">
        <f t="shared" si="267"/>
        <v>0</v>
      </c>
      <c r="J122" s="59">
        <f t="shared" si="268"/>
        <v>0</v>
      </c>
      <c r="K122" s="74">
        <v>0</v>
      </c>
      <c r="L122" s="74">
        <v>0</v>
      </c>
      <c r="M122" s="74">
        <v>0</v>
      </c>
      <c r="N122" s="74">
        <v>0</v>
      </c>
      <c r="O122" s="61">
        <f t="shared" ref="O122:Q122" si="559">AA122+AD122+AG122+AJ122+AM122+AP122+AS122+AV122+AY122+BB122+BE122+BH122</f>
        <v>0</v>
      </c>
      <c r="P122" s="61">
        <f t="shared" si="559"/>
        <v>0</v>
      </c>
      <c r="Q122" s="61">
        <f t="shared" si="559"/>
        <v>0</v>
      </c>
      <c r="R122" s="61">
        <f t="shared" ref="R122:T122" si="560">IF(BK122=0,SUM(AA122+AD122+AG122+AJ122+AM122+AP122+AS122+AV122+AY122+BB122+BE122+BH122),BK122)</f>
        <v>0</v>
      </c>
      <c r="S122" s="61">
        <f t="shared" si="560"/>
        <v>0</v>
      </c>
      <c r="T122" s="61">
        <f t="shared" si="560"/>
        <v>0</v>
      </c>
      <c r="U122" s="63">
        <f t="shared" ref="U122:U125" si="561">K122-O122</f>
        <v>0</v>
      </c>
      <c r="V122" s="63">
        <f t="shared" ref="V122:V125" si="562">L122-M122-S122</f>
        <v>0</v>
      </c>
      <c r="W122" s="63">
        <f t="shared" ref="W122:W125" si="563">N122-Q122</f>
        <v>0</v>
      </c>
      <c r="X122" s="64">
        <f t="shared" ref="X122:Y122" si="564">IF(O122&gt;0,O122/K122,0)</f>
        <v>0</v>
      </c>
      <c r="Y122" s="64">
        <f t="shared" si="564"/>
        <v>0</v>
      </c>
      <c r="Z122" s="64">
        <f t="shared" si="464"/>
        <v>0</v>
      </c>
      <c r="AA122" s="65"/>
      <c r="AB122" s="65"/>
      <c r="AC122" s="65"/>
      <c r="AD122" s="65"/>
      <c r="AE122" s="66"/>
      <c r="AF122" s="66"/>
      <c r="AG122" s="66"/>
      <c r="AH122" s="66"/>
      <c r="AI122" s="65"/>
      <c r="AJ122" s="65"/>
      <c r="AK122" s="65"/>
      <c r="AL122" s="65"/>
      <c r="AM122" s="65"/>
      <c r="AN122" s="65"/>
      <c r="AO122" s="65"/>
      <c r="AP122" s="65"/>
      <c r="AQ122" s="65"/>
      <c r="AR122" s="65"/>
      <c r="AS122" s="65"/>
      <c r="AT122" s="65"/>
      <c r="AU122" s="65"/>
      <c r="AV122" s="65"/>
      <c r="AW122" s="65"/>
      <c r="AX122" s="65"/>
      <c r="AY122" s="65"/>
      <c r="AZ122" s="65"/>
      <c r="BA122" s="65"/>
      <c r="BB122" s="65"/>
      <c r="BC122" s="65"/>
      <c r="BD122" s="65"/>
      <c r="BE122" s="65"/>
      <c r="BF122" s="65"/>
      <c r="BG122" s="65"/>
      <c r="BH122" s="65"/>
      <c r="BI122" s="65"/>
      <c r="BJ122" s="65"/>
      <c r="BK122" s="65">
        <v>0</v>
      </c>
      <c r="BL122" s="65">
        <v>0</v>
      </c>
      <c r="BM122" s="65">
        <v>0</v>
      </c>
      <c r="BN122" s="65">
        <f t="shared" ref="BN122:BN125" si="565">IF(O122-BK122&gt;0,O122-BK122,0)</f>
        <v>0</v>
      </c>
      <c r="BO122" s="67">
        <f t="shared" ref="BO122:BO125" si="566">IF(Q122-BM122&gt;0,Q122-BM122,0)</f>
        <v>0</v>
      </c>
      <c r="BP122" s="65">
        <f t="shared" ref="BP122:BP125" si="567">IF(BN122+BO122&gt;0,BN122+BO122,0)</f>
        <v>0</v>
      </c>
      <c r="BQ122" s="65">
        <f t="shared" ref="BQ122:BQ125" si="568">IF(U122=0,0,U122)</f>
        <v>0</v>
      </c>
      <c r="BR122" s="65">
        <f t="shared" ref="BR122:BR125" si="569">IF(W122=0,0,W122)</f>
        <v>0</v>
      </c>
      <c r="BS122" s="65">
        <f t="shared" ref="BS122:BS125" si="570">IF(BQ122+BR122&gt;0,BQ122+BR122,0)</f>
        <v>0</v>
      </c>
      <c r="BT122" s="65">
        <f t="shared" ref="BT122:BT125" si="571">IF(V122&gt;0,V122,0)</f>
        <v>0</v>
      </c>
      <c r="BU122" s="65">
        <f t="shared" ref="BU122:BU125" si="572">IF(BP122=0,0,BP122)</f>
        <v>0</v>
      </c>
      <c r="BV122" s="65">
        <f t="shared" ref="BV122:BV125" si="573">IF(BS122=0,0,BS122)</f>
        <v>0</v>
      </c>
      <c r="BW122" s="65">
        <f t="shared" ref="BW122:BW125" si="574">IF(BP122+BT122+BV122&gt;0,BP122+BT122+BV122,0)</f>
        <v>0</v>
      </c>
      <c r="BX122" s="6"/>
      <c r="BY122" s="6"/>
      <c r="BZ122" s="6"/>
      <c r="CA122" s="6"/>
      <c r="CB122" s="6"/>
      <c r="CC122" s="6"/>
      <c r="CD122" s="6"/>
      <c r="CE122" s="6"/>
      <c r="CF122" s="6"/>
      <c r="CG122" s="6"/>
    </row>
    <row r="123" spans="1:85" ht="15.75" customHeight="1">
      <c r="A123" s="54"/>
      <c r="B123" s="69"/>
      <c r="C123" s="68" t="s">
        <v>170</v>
      </c>
      <c r="D123" s="70" t="s">
        <v>172</v>
      </c>
      <c r="E123" s="192">
        <v>0</v>
      </c>
      <c r="F123" s="192">
        <v>0</v>
      </c>
      <c r="G123" s="58">
        <f t="shared" si="558"/>
        <v>0</v>
      </c>
      <c r="H123" s="191">
        <v>100000</v>
      </c>
      <c r="I123" s="59">
        <f t="shared" si="267"/>
        <v>0</v>
      </c>
      <c r="J123" s="59">
        <f t="shared" si="268"/>
        <v>0</v>
      </c>
      <c r="K123" s="74">
        <v>0</v>
      </c>
      <c r="L123" s="74">
        <v>0</v>
      </c>
      <c r="M123" s="74">
        <v>0</v>
      </c>
      <c r="N123" s="74">
        <v>0</v>
      </c>
      <c r="O123" s="61">
        <f t="shared" ref="O123:Q123" si="575">AA123+AD123+AG123+AJ123+AM123+AP123+AS123+AV123+AY123+BB123+BE123+BH123</f>
        <v>0</v>
      </c>
      <c r="P123" s="61">
        <f t="shared" si="575"/>
        <v>0</v>
      </c>
      <c r="Q123" s="61">
        <f t="shared" si="575"/>
        <v>0</v>
      </c>
      <c r="R123" s="61">
        <f t="shared" ref="R123:T123" si="576">IF(BK123=0,SUM(AA123+AD123+AG123+AJ123+AM123+AP123+AS123+AV123+AY123+BB123+BE123+BH123),BK123)</f>
        <v>0</v>
      </c>
      <c r="S123" s="61">
        <f t="shared" si="576"/>
        <v>0</v>
      </c>
      <c r="T123" s="61">
        <f t="shared" si="576"/>
        <v>0</v>
      </c>
      <c r="U123" s="63">
        <f t="shared" si="561"/>
        <v>0</v>
      </c>
      <c r="V123" s="63">
        <f t="shared" si="562"/>
        <v>0</v>
      </c>
      <c r="W123" s="63">
        <f t="shared" si="563"/>
        <v>0</v>
      </c>
      <c r="X123" s="64">
        <f t="shared" ref="X123:Y123" si="577">IF(O123&gt;0,O123/K123,0)</f>
        <v>0</v>
      </c>
      <c r="Y123" s="64">
        <f t="shared" si="577"/>
        <v>0</v>
      </c>
      <c r="Z123" s="64">
        <f t="shared" si="464"/>
        <v>0</v>
      </c>
      <c r="AA123" s="65"/>
      <c r="AB123" s="65"/>
      <c r="AC123" s="65"/>
      <c r="AD123" s="65"/>
      <c r="AE123" s="66"/>
      <c r="AF123" s="66"/>
      <c r="AG123" s="66"/>
      <c r="AH123" s="66"/>
      <c r="AI123" s="65"/>
      <c r="AJ123" s="65"/>
      <c r="AK123" s="65"/>
      <c r="AL123" s="65"/>
      <c r="AM123" s="65"/>
      <c r="AN123" s="65"/>
      <c r="AO123" s="65"/>
      <c r="AP123" s="65"/>
      <c r="AQ123" s="65"/>
      <c r="AR123" s="65"/>
      <c r="AS123" s="65"/>
      <c r="AT123" s="65"/>
      <c r="AU123" s="65"/>
      <c r="AV123" s="65"/>
      <c r="AW123" s="65"/>
      <c r="AX123" s="65"/>
      <c r="AY123" s="65"/>
      <c r="AZ123" s="65"/>
      <c r="BA123" s="65"/>
      <c r="BB123" s="65"/>
      <c r="BC123" s="65"/>
      <c r="BD123" s="65"/>
      <c r="BE123" s="65"/>
      <c r="BF123" s="65"/>
      <c r="BG123" s="65"/>
      <c r="BH123" s="65"/>
      <c r="BI123" s="65"/>
      <c r="BJ123" s="65"/>
      <c r="BK123" s="65">
        <v>0</v>
      </c>
      <c r="BL123" s="65">
        <v>0</v>
      </c>
      <c r="BM123" s="65">
        <v>0</v>
      </c>
      <c r="BN123" s="65">
        <f t="shared" si="565"/>
        <v>0</v>
      </c>
      <c r="BO123" s="67">
        <f t="shared" si="566"/>
        <v>0</v>
      </c>
      <c r="BP123" s="65">
        <f t="shared" si="567"/>
        <v>0</v>
      </c>
      <c r="BQ123" s="65">
        <f t="shared" si="568"/>
        <v>0</v>
      </c>
      <c r="BR123" s="65">
        <f t="shared" si="569"/>
        <v>0</v>
      </c>
      <c r="BS123" s="65">
        <f t="shared" si="570"/>
        <v>0</v>
      </c>
      <c r="BT123" s="65">
        <f t="shared" si="571"/>
        <v>0</v>
      </c>
      <c r="BU123" s="65">
        <f t="shared" si="572"/>
        <v>0</v>
      </c>
      <c r="BV123" s="65">
        <f t="shared" si="573"/>
        <v>0</v>
      </c>
      <c r="BW123" s="65">
        <f t="shared" si="574"/>
        <v>0</v>
      </c>
      <c r="BX123" s="6"/>
      <c r="BY123" s="6"/>
      <c r="BZ123" s="6"/>
      <c r="CA123" s="6"/>
      <c r="CB123" s="6"/>
      <c r="CC123" s="6"/>
      <c r="CD123" s="6"/>
      <c r="CE123" s="6"/>
      <c r="CF123" s="6"/>
      <c r="CG123" s="6"/>
    </row>
    <row r="124" spans="1:85" ht="15.75" customHeight="1">
      <c r="A124" s="121"/>
      <c r="B124" s="169"/>
      <c r="C124" s="68" t="s">
        <v>174</v>
      </c>
      <c r="D124" s="70" t="s">
        <v>277</v>
      </c>
      <c r="E124" s="57">
        <v>0</v>
      </c>
      <c r="F124" s="57">
        <v>0</v>
      </c>
      <c r="G124" s="58">
        <f t="shared" si="558"/>
        <v>0</v>
      </c>
      <c r="H124" s="56">
        <v>80000</v>
      </c>
      <c r="I124" s="59">
        <f t="shared" si="267"/>
        <v>0</v>
      </c>
      <c r="J124" s="59">
        <f t="shared" si="268"/>
        <v>0</v>
      </c>
      <c r="K124" s="74">
        <v>0</v>
      </c>
      <c r="L124" s="74">
        <v>0</v>
      </c>
      <c r="M124" s="74">
        <v>0</v>
      </c>
      <c r="N124" s="74">
        <v>0</v>
      </c>
      <c r="O124" s="61">
        <f t="shared" ref="O124:Q124" si="578">AA124+AD124+AG124+AJ124+AM124+AP124+AS124+AV124+AY124+BB124+BE124+BH124</f>
        <v>0</v>
      </c>
      <c r="P124" s="61">
        <f t="shared" si="578"/>
        <v>0</v>
      </c>
      <c r="Q124" s="61">
        <f t="shared" si="578"/>
        <v>0</v>
      </c>
      <c r="R124" s="61">
        <f t="shared" ref="R124:T124" si="579">IF(BK124=0,SUM(AA124+AD124+AG124+AJ124+AM124+AP124+AS124+AV124+AY124+BB124+BE124+BH124),BK124)</f>
        <v>0</v>
      </c>
      <c r="S124" s="61">
        <f t="shared" si="579"/>
        <v>0</v>
      </c>
      <c r="T124" s="61">
        <f t="shared" si="579"/>
        <v>0</v>
      </c>
      <c r="U124" s="63">
        <f t="shared" si="561"/>
        <v>0</v>
      </c>
      <c r="V124" s="63">
        <f t="shared" si="562"/>
        <v>0</v>
      </c>
      <c r="W124" s="63">
        <f t="shared" si="563"/>
        <v>0</v>
      </c>
      <c r="X124" s="64">
        <f t="shared" ref="X124:Y124" si="580">IF(O124&gt;0,O124/K124,0)</f>
        <v>0</v>
      </c>
      <c r="Y124" s="64">
        <f t="shared" si="580"/>
        <v>0</v>
      </c>
      <c r="Z124" s="64">
        <f t="shared" si="464"/>
        <v>0</v>
      </c>
      <c r="AA124" s="65"/>
      <c r="AB124" s="65"/>
      <c r="AC124" s="65"/>
      <c r="AD124" s="65"/>
      <c r="AE124" s="66"/>
      <c r="AF124" s="66"/>
      <c r="AG124" s="66"/>
      <c r="AH124" s="66"/>
      <c r="AI124" s="65"/>
      <c r="AJ124" s="65"/>
      <c r="AK124" s="65"/>
      <c r="AL124" s="65"/>
      <c r="AM124" s="65"/>
      <c r="AN124" s="65"/>
      <c r="AO124" s="65"/>
      <c r="AP124" s="65"/>
      <c r="AQ124" s="65"/>
      <c r="AR124" s="65"/>
      <c r="AS124" s="65"/>
      <c r="AT124" s="65"/>
      <c r="AU124" s="65"/>
      <c r="AV124" s="65"/>
      <c r="AW124" s="65"/>
      <c r="AX124" s="65"/>
      <c r="AY124" s="65"/>
      <c r="AZ124" s="65"/>
      <c r="BA124" s="65"/>
      <c r="BB124" s="65"/>
      <c r="BC124" s="65"/>
      <c r="BD124" s="65"/>
      <c r="BE124" s="65"/>
      <c r="BF124" s="65"/>
      <c r="BG124" s="65"/>
      <c r="BH124" s="65"/>
      <c r="BI124" s="65"/>
      <c r="BJ124" s="65"/>
      <c r="BK124" s="65">
        <v>0</v>
      </c>
      <c r="BL124" s="65">
        <v>0</v>
      </c>
      <c r="BM124" s="65">
        <v>0</v>
      </c>
      <c r="BN124" s="65">
        <f t="shared" si="565"/>
        <v>0</v>
      </c>
      <c r="BO124" s="67">
        <f t="shared" si="566"/>
        <v>0</v>
      </c>
      <c r="BP124" s="65">
        <f t="shared" si="567"/>
        <v>0</v>
      </c>
      <c r="BQ124" s="65">
        <f t="shared" si="568"/>
        <v>0</v>
      </c>
      <c r="BR124" s="65">
        <f t="shared" si="569"/>
        <v>0</v>
      </c>
      <c r="BS124" s="65">
        <f t="shared" si="570"/>
        <v>0</v>
      </c>
      <c r="BT124" s="65">
        <f t="shared" si="571"/>
        <v>0</v>
      </c>
      <c r="BU124" s="65">
        <f t="shared" si="572"/>
        <v>0</v>
      </c>
      <c r="BV124" s="65">
        <f t="shared" si="573"/>
        <v>0</v>
      </c>
      <c r="BW124" s="65">
        <f t="shared" si="574"/>
        <v>0</v>
      </c>
      <c r="BX124" s="6"/>
      <c r="BY124" s="6"/>
      <c r="BZ124" s="6"/>
      <c r="CA124" s="6"/>
      <c r="CB124" s="6"/>
      <c r="CC124" s="6"/>
      <c r="CD124" s="6"/>
      <c r="CE124" s="6"/>
      <c r="CF124" s="6"/>
      <c r="CG124" s="6"/>
    </row>
    <row r="125" spans="1:85" ht="15.75" customHeight="1">
      <c r="A125" s="54"/>
      <c r="B125" s="69"/>
      <c r="C125" s="68" t="s">
        <v>174</v>
      </c>
      <c r="D125" s="105" t="s">
        <v>278</v>
      </c>
      <c r="E125" s="57">
        <v>0</v>
      </c>
      <c r="F125" s="57">
        <v>0</v>
      </c>
      <c r="G125" s="58">
        <f t="shared" si="558"/>
        <v>0</v>
      </c>
      <c r="H125" s="56">
        <v>250000</v>
      </c>
      <c r="I125" s="59">
        <f t="shared" si="267"/>
        <v>0</v>
      </c>
      <c r="J125" s="59">
        <f t="shared" si="268"/>
        <v>0</v>
      </c>
      <c r="K125" s="74">
        <v>0</v>
      </c>
      <c r="L125" s="74">
        <v>0</v>
      </c>
      <c r="M125" s="74">
        <v>0</v>
      </c>
      <c r="N125" s="74">
        <v>0</v>
      </c>
      <c r="O125" s="61">
        <f t="shared" ref="O125:Q125" si="581">AA125+AD125+AG125+AJ125+AM125+AP125+AS125+AV125+AY125+BB125+BE125+BH125</f>
        <v>0</v>
      </c>
      <c r="P125" s="61">
        <f t="shared" si="581"/>
        <v>0</v>
      </c>
      <c r="Q125" s="61">
        <f t="shared" si="581"/>
        <v>0</v>
      </c>
      <c r="R125" s="61">
        <f t="shared" ref="R125:T125" si="582">IF(BK125=0,SUM(AA125+AD125+AG125+AJ125+AM125+AP125+AS125+AV125+AY125+BB125+BE125+BH125),BK125)</f>
        <v>0</v>
      </c>
      <c r="S125" s="61">
        <f t="shared" si="582"/>
        <v>0</v>
      </c>
      <c r="T125" s="61">
        <f t="shared" si="582"/>
        <v>0</v>
      </c>
      <c r="U125" s="63">
        <f t="shared" si="561"/>
        <v>0</v>
      </c>
      <c r="V125" s="63">
        <f t="shared" si="562"/>
        <v>0</v>
      </c>
      <c r="W125" s="63">
        <f t="shared" si="563"/>
        <v>0</v>
      </c>
      <c r="X125" s="64">
        <f t="shared" ref="X125:Y125" si="583">IF(O125&gt;0,O125/K125,0)</f>
        <v>0</v>
      </c>
      <c r="Y125" s="64">
        <f t="shared" si="583"/>
        <v>0</v>
      </c>
      <c r="Z125" s="64">
        <f t="shared" si="464"/>
        <v>0</v>
      </c>
      <c r="AA125" s="65"/>
      <c r="AB125" s="65"/>
      <c r="AC125" s="65"/>
      <c r="AD125" s="65"/>
      <c r="AE125" s="66"/>
      <c r="AF125" s="66"/>
      <c r="AG125" s="66"/>
      <c r="AH125" s="66"/>
      <c r="AI125" s="65"/>
      <c r="AJ125" s="65"/>
      <c r="AK125" s="65"/>
      <c r="AL125" s="65"/>
      <c r="AM125" s="65"/>
      <c r="AN125" s="65"/>
      <c r="AO125" s="65"/>
      <c r="AP125" s="65"/>
      <c r="AQ125" s="65"/>
      <c r="AR125" s="65"/>
      <c r="AS125" s="65"/>
      <c r="AT125" s="65"/>
      <c r="AU125" s="65"/>
      <c r="AV125" s="65"/>
      <c r="AW125" s="65"/>
      <c r="AX125" s="65"/>
      <c r="AY125" s="65"/>
      <c r="AZ125" s="65"/>
      <c r="BA125" s="65"/>
      <c r="BB125" s="65"/>
      <c r="BC125" s="65"/>
      <c r="BD125" s="65"/>
      <c r="BE125" s="65"/>
      <c r="BF125" s="65"/>
      <c r="BG125" s="65"/>
      <c r="BH125" s="65"/>
      <c r="BI125" s="65"/>
      <c r="BJ125" s="65"/>
      <c r="BK125" s="65">
        <v>0</v>
      </c>
      <c r="BL125" s="65">
        <v>0</v>
      </c>
      <c r="BM125" s="65">
        <v>0</v>
      </c>
      <c r="BN125" s="65">
        <f t="shared" si="565"/>
        <v>0</v>
      </c>
      <c r="BO125" s="67">
        <f t="shared" si="566"/>
        <v>0</v>
      </c>
      <c r="BP125" s="65">
        <f t="shared" si="567"/>
        <v>0</v>
      </c>
      <c r="BQ125" s="65">
        <f t="shared" si="568"/>
        <v>0</v>
      </c>
      <c r="BR125" s="65">
        <f t="shared" si="569"/>
        <v>0</v>
      </c>
      <c r="BS125" s="65">
        <f t="shared" si="570"/>
        <v>0</v>
      </c>
      <c r="BT125" s="65">
        <f t="shared" si="571"/>
        <v>0</v>
      </c>
      <c r="BU125" s="65">
        <f t="shared" si="572"/>
        <v>0</v>
      </c>
      <c r="BV125" s="65">
        <f t="shared" si="573"/>
        <v>0</v>
      </c>
      <c r="BW125" s="65">
        <f t="shared" si="574"/>
        <v>0</v>
      </c>
      <c r="BX125" s="6"/>
      <c r="BY125" s="6"/>
      <c r="BZ125" s="6"/>
      <c r="CA125" s="6"/>
      <c r="CB125" s="6"/>
      <c r="CC125" s="6"/>
      <c r="CD125" s="6"/>
      <c r="CE125" s="6"/>
      <c r="CF125" s="6"/>
      <c r="CG125" s="6"/>
    </row>
    <row r="126" spans="1:85" ht="15.75">
      <c r="A126" s="75"/>
      <c r="B126" s="76"/>
      <c r="C126" s="77"/>
      <c r="D126" s="78" t="s">
        <v>223</v>
      </c>
      <c r="E126" s="45">
        <f t="shared" ref="E126:H126" si="584">SUM(E127)</f>
        <v>0</v>
      </c>
      <c r="F126" s="46">
        <f t="shared" si="584"/>
        <v>0</v>
      </c>
      <c r="G126" s="46">
        <f t="shared" si="584"/>
        <v>0</v>
      </c>
      <c r="H126" s="46">
        <f t="shared" si="584"/>
        <v>0</v>
      </c>
      <c r="I126" s="47">
        <f t="shared" si="267"/>
        <v>0</v>
      </c>
      <c r="J126" s="47">
        <f t="shared" si="268"/>
        <v>0</v>
      </c>
      <c r="K126" s="46">
        <f t="shared" ref="K126:W126" si="585">SUM(K127)</f>
        <v>0</v>
      </c>
      <c r="L126" s="46">
        <f t="shared" si="585"/>
        <v>0</v>
      </c>
      <c r="M126" s="46">
        <f t="shared" si="585"/>
        <v>0</v>
      </c>
      <c r="N126" s="46">
        <f t="shared" si="585"/>
        <v>0</v>
      </c>
      <c r="O126" s="46">
        <f t="shared" si="585"/>
        <v>0</v>
      </c>
      <c r="P126" s="46">
        <f t="shared" si="585"/>
        <v>0</v>
      </c>
      <c r="Q126" s="46">
        <f t="shared" si="585"/>
        <v>0</v>
      </c>
      <c r="R126" s="46">
        <f t="shared" si="585"/>
        <v>0</v>
      </c>
      <c r="S126" s="46">
        <f t="shared" si="585"/>
        <v>0</v>
      </c>
      <c r="T126" s="46">
        <f t="shared" si="585"/>
        <v>0</v>
      </c>
      <c r="U126" s="46">
        <f t="shared" si="585"/>
        <v>0</v>
      </c>
      <c r="V126" s="46">
        <f t="shared" si="585"/>
        <v>0</v>
      </c>
      <c r="W126" s="46">
        <f t="shared" si="585"/>
        <v>0</v>
      </c>
      <c r="X126" s="50">
        <f t="shared" ref="X126:Y126" si="586">IF(O126&gt;0,O126/K126,0)</f>
        <v>0</v>
      </c>
      <c r="Y126" s="50">
        <f t="shared" si="586"/>
        <v>0</v>
      </c>
      <c r="Z126" s="50">
        <f t="shared" si="464"/>
        <v>0</v>
      </c>
      <c r="AA126" s="46">
        <f t="shared" ref="AA126:BW126" si="587">SUM(AA127)</f>
        <v>0</v>
      </c>
      <c r="AB126" s="46">
        <f t="shared" si="587"/>
        <v>0</v>
      </c>
      <c r="AC126" s="46">
        <f t="shared" si="587"/>
        <v>0</v>
      </c>
      <c r="AD126" s="46">
        <f t="shared" si="587"/>
        <v>0</v>
      </c>
      <c r="AE126" s="46">
        <f t="shared" si="587"/>
        <v>0</v>
      </c>
      <c r="AF126" s="46">
        <f t="shared" si="587"/>
        <v>0</v>
      </c>
      <c r="AG126" s="46">
        <f t="shared" si="587"/>
        <v>0</v>
      </c>
      <c r="AH126" s="46">
        <f t="shared" si="587"/>
        <v>0</v>
      </c>
      <c r="AI126" s="46">
        <f t="shared" si="587"/>
        <v>0</v>
      </c>
      <c r="AJ126" s="46">
        <f t="shared" si="587"/>
        <v>0</v>
      </c>
      <c r="AK126" s="46">
        <f t="shared" si="587"/>
        <v>0</v>
      </c>
      <c r="AL126" s="46">
        <f t="shared" si="587"/>
        <v>0</v>
      </c>
      <c r="AM126" s="46">
        <f t="shared" si="587"/>
        <v>0</v>
      </c>
      <c r="AN126" s="46">
        <f t="shared" si="587"/>
        <v>0</v>
      </c>
      <c r="AO126" s="46">
        <f t="shared" si="587"/>
        <v>0</v>
      </c>
      <c r="AP126" s="46">
        <f t="shared" si="587"/>
        <v>0</v>
      </c>
      <c r="AQ126" s="46">
        <f t="shared" si="587"/>
        <v>0</v>
      </c>
      <c r="AR126" s="46">
        <f t="shared" si="587"/>
        <v>0</v>
      </c>
      <c r="AS126" s="46">
        <f t="shared" si="587"/>
        <v>0</v>
      </c>
      <c r="AT126" s="46">
        <f t="shared" si="587"/>
        <v>0</v>
      </c>
      <c r="AU126" s="46">
        <f t="shared" si="587"/>
        <v>0</v>
      </c>
      <c r="AV126" s="46">
        <f t="shared" si="587"/>
        <v>0</v>
      </c>
      <c r="AW126" s="46">
        <f t="shared" si="587"/>
        <v>0</v>
      </c>
      <c r="AX126" s="46">
        <f t="shared" si="587"/>
        <v>0</v>
      </c>
      <c r="AY126" s="46">
        <f t="shared" si="587"/>
        <v>0</v>
      </c>
      <c r="AZ126" s="46">
        <f t="shared" si="587"/>
        <v>0</v>
      </c>
      <c r="BA126" s="46">
        <f t="shared" si="587"/>
        <v>0</v>
      </c>
      <c r="BB126" s="46">
        <f t="shared" si="587"/>
        <v>0</v>
      </c>
      <c r="BC126" s="46">
        <f t="shared" si="587"/>
        <v>0</v>
      </c>
      <c r="BD126" s="46">
        <f t="shared" si="587"/>
        <v>0</v>
      </c>
      <c r="BE126" s="46">
        <f t="shared" si="587"/>
        <v>0</v>
      </c>
      <c r="BF126" s="46">
        <f t="shared" si="587"/>
        <v>0</v>
      </c>
      <c r="BG126" s="46">
        <f t="shared" si="587"/>
        <v>0</v>
      </c>
      <c r="BH126" s="46">
        <f t="shared" si="587"/>
        <v>0</v>
      </c>
      <c r="BI126" s="46">
        <f t="shared" si="587"/>
        <v>0</v>
      </c>
      <c r="BJ126" s="46">
        <f t="shared" si="587"/>
        <v>0</v>
      </c>
      <c r="BK126" s="46">
        <f t="shared" si="587"/>
        <v>0</v>
      </c>
      <c r="BL126" s="46">
        <f t="shared" si="587"/>
        <v>0</v>
      </c>
      <c r="BM126" s="46">
        <f t="shared" si="587"/>
        <v>0</v>
      </c>
      <c r="BN126" s="46">
        <f t="shared" si="587"/>
        <v>0</v>
      </c>
      <c r="BO126" s="46">
        <f t="shared" si="587"/>
        <v>0</v>
      </c>
      <c r="BP126" s="46">
        <f t="shared" si="587"/>
        <v>0</v>
      </c>
      <c r="BQ126" s="46">
        <f t="shared" si="587"/>
        <v>0</v>
      </c>
      <c r="BR126" s="46">
        <f t="shared" si="587"/>
        <v>0</v>
      </c>
      <c r="BS126" s="46">
        <f t="shared" si="587"/>
        <v>0</v>
      </c>
      <c r="BT126" s="46">
        <f t="shared" si="587"/>
        <v>0</v>
      </c>
      <c r="BU126" s="46">
        <f t="shared" si="587"/>
        <v>0</v>
      </c>
      <c r="BV126" s="46">
        <f t="shared" si="587"/>
        <v>0</v>
      </c>
      <c r="BW126" s="46">
        <f t="shared" si="587"/>
        <v>0</v>
      </c>
      <c r="BX126" s="51"/>
      <c r="BY126" s="51"/>
      <c r="BZ126" s="51"/>
      <c r="CA126" s="51"/>
      <c r="CB126" s="51"/>
      <c r="CC126" s="51"/>
      <c r="CD126" s="51"/>
      <c r="CE126" s="51"/>
      <c r="CF126" s="51"/>
      <c r="CG126" s="51"/>
    </row>
    <row r="127" spans="1:85" ht="15.75" customHeight="1">
      <c r="A127" s="177"/>
      <c r="B127" s="102"/>
      <c r="C127" s="183" t="s">
        <v>224</v>
      </c>
      <c r="D127" s="184" t="s">
        <v>279</v>
      </c>
      <c r="E127" s="187">
        <v>0</v>
      </c>
      <c r="F127" s="187">
        <v>0</v>
      </c>
      <c r="G127" s="58">
        <f>E127-F127</f>
        <v>0</v>
      </c>
      <c r="H127" s="187">
        <v>0</v>
      </c>
      <c r="I127" s="59">
        <f t="shared" si="267"/>
        <v>0</v>
      </c>
      <c r="J127" s="59">
        <f t="shared" si="268"/>
        <v>0</v>
      </c>
      <c r="K127" s="74">
        <v>0</v>
      </c>
      <c r="L127" s="74">
        <v>0</v>
      </c>
      <c r="M127" s="74">
        <v>0</v>
      </c>
      <c r="N127" s="74">
        <v>0</v>
      </c>
      <c r="O127" s="61">
        <f t="shared" ref="O127:Q127" si="588">AA127+AD127+AG127+AJ127+AM127+AP127+AS127+AV127+AY127+BB127+BE127+BH127</f>
        <v>0</v>
      </c>
      <c r="P127" s="61">
        <f t="shared" si="588"/>
        <v>0</v>
      </c>
      <c r="Q127" s="61">
        <f t="shared" si="588"/>
        <v>0</v>
      </c>
      <c r="R127" s="61">
        <f t="shared" ref="R127:T127" si="589">IF(BK127=0,SUM(AA127+AD127+AG127+AJ127+AM127+AP127+AS127+AV127+AY127+BB127+BE127+BH127),BK127)</f>
        <v>0</v>
      </c>
      <c r="S127" s="61">
        <f t="shared" si="589"/>
        <v>0</v>
      </c>
      <c r="T127" s="61">
        <f t="shared" si="589"/>
        <v>0</v>
      </c>
      <c r="U127" s="63">
        <f>K127-O127</f>
        <v>0</v>
      </c>
      <c r="V127" s="63">
        <f>L127-M127-S127</f>
        <v>0</v>
      </c>
      <c r="W127" s="63">
        <f>N127-Q127</f>
        <v>0</v>
      </c>
      <c r="X127" s="64">
        <f t="shared" ref="X127:Y127" si="590">IF(O127&gt;0,O127/K127,0)</f>
        <v>0</v>
      </c>
      <c r="Y127" s="64">
        <f t="shared" si="590"/>
        <v>0</v>
      </c>
      <c r="Z127" s="64">
        <f t="shared" si="464"/>
        <v>0</v>
      </c>
      <c r="AA127" s="65"/>
      <c r="AB127" s="65"/>
      <c r="AC127" s="65"/>
      <c r="AD127" s="65"/>
      <c r="AE127" s="66"/>
      <c r="AF127" s="66"/>
      <c r="AG127" s="66"/>
      <c r="AH127" s="66"/>
      <c r="AI127" s="65"/>
      <c r="AJ127" s="65"/>
      <c r="AK127" s="65"/>
      <c r="AL127" s="65"/>
      <c r="AM127" s="65"/>
      <c r="AN127" s="65"/>
      <c r="AO127" s="65"/>
      <c r="AP127" s="65"/>
      <c r="AQ127" s="65"/>
      <c r="AR127" s="65"/>
      <c r="AS127" s="65"/>
      <c r="AT127" s="65"/>
      <c r="AU127" s="65"/>
      <c r="AV127" s="65"/>
      <c r="AW127" s="65"/>
      <c r="AX127" s="65"/>
      <c r="AY127" s="65"/>
      <c r="AZ127" s="65"/>
      <c r="BA127" s="65"/>
      <c r="BB127" s="65"/>
      <c r="BC127" s="65"/>
      <c r="BD127" s="65"/>
      <c r="BE127" s="65"/>
      <c r="BF127" s="65"/>
      <c r="BG127" s="65"/>
      <c r="BH127" s="65"/>
      <c r="BI127" s="65"/>
      <c r="BJ127" s="65"/>
      <c r="BK127" s="65">
        <v>0</v>
      </c>
      <c r="BL127" s="65">
        <v>0</v>
      </c>
      <c r="BM127" s="65">
        <v>0</v>
      </c>
      <c r="BN127" s="65">
        <f>IF(O127-BK127&gt;0,O127-BK127,0)</f>
        <v>0</v>
      </c>
      <c r="BO127" s="67">
        <f>IF(Q127-BM127&gt;0,Q127-BM127,0)</f>
        <v>0</v>
      </c>
      <c r="BP127" s="65">
        <f>IF(BN127+BO127&gt;0,BN127+BO127,0)</f>
        <v>0</v>
      </c>
      <c r="BQ127" s="65">
        <f>IF(U127=0,0,U127)</f>
        <v>0</v>
      </c>
      <c r="BR127" s="65">
        <f>IF(W127=0,0,W127)</f>
        <v>0</v>
      </c>
      <c r="BS127" s="65">
        <f>IF(BQ127+BR127&gt;0,BQ127+BR127,0)</f>
        <v>0</v>
      </c>
      <c r="BT127" s="65">
        <f>IF(V127&gt;0,V127,0)</f>
        <v>0</v>
      </c>
      <c r="BU127" s="65">
        <f>IF(BP127=0,0,BP127)</f>
        <v>0</v>
      </c>
      <c r="BV127" s="65">
        <f>IF(BS127=0,0,BS127)</f>
        <v>0</v>
      </c>
      <c r="BW127" s="65">
        <f>IF(BP127+BT127+BV127&gt;0,BP127+BT127+BV127,0)</f>
        <v>0</v>
      </c>
      <c r="BX127" s="6"/>
      <c r="BY127" s="6"/>
      <c r="BZ127" s="6"/>
      <c r="CA127" s="6"/>
      <c r="CB127" s="6"/>
      <c r="CC127" s="6"/>
      <c r="CD127" s="6"/>
      <c r="CE127" s="6"/>
      <c r="CF127" s="6"/>
      <c r="CG127" s="6"/>
    </row>
    <row r="128" spans="1:85" ht="15.75">
      <c r="A128" s="75"/>
      <c r="B128" s="76"/>
      <c r="C128" s="77"/>
      <c r="D128" s="78" t="s">
        <v>280</v>
      </c>
      <c r="E128" s="45">
        <f t="shared" ref="E128:H128" si="591">SUM(E129:E138)</f>
        <v>0</v>
      </c>
      <c r="F128" s="46">
        <f t="shared" si="591"/>
        <v>0</v>
      </c>
      <c r="G128" s="46">
        <f t="shared" si="591"/>
        <v>0</v>
      </c>
      <c r="H128" s="46">
        <f t="shared" si="591"/>
        <v>5900000</v>
      </c>
      <c r="I128" s="47">
        <f t="shared" si="267"/>
        <v>0</v>
      </c>
      <c r="J128" s="47">
        <f t="shared" si="268"/>
        <v>0</v>
      </c>
      <c r="K128" s="46">
        <f t="shared" ref="K128:W128" si="592">SUM(K129:K138)</f>
        <v>0</v>
      </c>
      <c r="L128" s="46">
        <f t="shared" si="592"/>
        <v>0</v>
      </c>
      <c r="M128" s="46">
        <f t="shared" si="592"/>
        <v>0</v>
      </c>
      <c r="N128" s="46">
        <f t="shared" si="592"/>
        <v>0</v>
      </c>
      <c r="O128" s="46">
        <f t="shared" si="592"/>
        <v>0</v>
      </c>
      <c r="P128" s="46">
        <f t="shared" si="592"/>
        <v>0</v>
      </c>
      <c r="Q128" s="46">
        <f t="shared" si="592"/>
        <v>0</v>
      </c>
      <c r="R128" s="46">
        <f t="shared" si="592"/>
        <v>0</v>
      </c>
      <c r="S128" s="46">
        <f t="shared" si="592"/>
        <v>0</v>
      </c>
      <c r="T128" s="46">
        <f t="shared" si="592"/>
        <v>0</v>
      </c>
      <c r="U128" s="46">
        <f t="shared" si="592"/>
        <v>0</v>
      </c>
      <c r="V128" s="46">
        <f t="shared" si="592"/>
        <v>0</v>
      </c>
      <c r="W128" s="46">
        <f t="shared" si="592"/>
        <v>0</v>
      </c>
      <c r="X128" s="50">
        <f t="shared" ref="X128:Y128" si="593">IF(O128&gt;0,O128/K128,0)</f>
        <v>0</v>
      </c>
      <c r="Y128" s="50">
        <f t="shared" si="593"/>
        <v>0</v>
      </c>
      <c r="Z128" s="50">
        <f t="shared" si="464"/>
        <v>0</v>
      </c>
      <c r="AA128" s="46">
        <f t="shared" ref="AA128:BW128" si="594">SUM(AA129:AA138)</f>
        <v>0</v>
      </c>
      <c r="AB128" s="46">
        <f t="shared" si="594"/>
        <v>0</v>
      </c>
      <c r="AC128" s="46">
        <f t="shared" si="594"/>
        <v>0</v>
      </c>
      <c r="AD128" s="46">
        <f t="shared" si="594"/>
        <v>0</v>
      </c>
      <c r="AE128" s="46">
        <f t="shared" si="594"/>
        <v>0</v>
      </c>
      <c r="AF128" s="46">
        <f t="shared" si="594"/>
        <v>0</v>
      </c>
      <c r="AG128" s="46">
        <f t="shared" si="594"/>
        <v>0</v>
      </c>
      <c r="AH128" s="46">
        <f t="shared" si="594"/>
        <v>0</v>
      </c>
      <c r="AI128" s="46">
        <f t="shared" si="594"/>
        <v>0</v>
      </c>
      <c r="AJ128" s="46">
        <f t="shared" si="594"/>
        <v>0</v>
      </c>
      <c r="AK128" s="46">
        <f t="shared" si="594"/>
        <v>0</v>
      </c>
      <c r="AL128" s="46">
        <f t="shared" si="594"/>
        <v>0</v>
      </c>
      <c r="AM128" s="46">
        <f t="shared" si="594"/>
        <v>0</v>
      </c>
      <c r="AN128" s="46">
        <f t="shared" si="594"/>
        <v>0</v>
      </c>
      <c r="AO128" s="46">
        <f t="shared" si="594"/>
        <v>0</v>
      </c>
      <c r="AP128" s="46">
        <f t="shared" si="594"/>
        <v>0</v>
      </c>
      <c r="AQ128" s="46">
        <f t="shared" si="594"/>
        <v>0</v>
      </c>
      <c r="AR128" s="46">
        <f t="shared" si="594"/>
        <v>0</v>
      </c>
      <c r="AS128" s="46">
        <f t="shared" si="594"/>
        <v>0</v>
      </c>
      <c r="AT128" s="46">
        <f t="shared" si="594"/>
        <v>0</v>
      </c>
      <c r="AU128" s="46">
        <f t="shared" si="594"/>
        <v>0</v>
      </c>
      <c r="AV128" s="46">
        <f t="shared" si="594"/>
        <v>0</v>
      </c>
      <c r="AW128" s="46">
        <f t="shared" si="594"/>
        <v>0</v>
      </c>
      <c r="AX128" s="46">
        <f t="shared" si="594"/>
        <v>0</v>
      </c>
      <c r="AY128" s="46">
        <f t="shared" si="594"/>
        <v>0</v>
      </c>
      <c r="AZ128" s="46">
        <f t="shared" si="594"/>
        <v>0</v>
      </c>
      <c r="BA128" s="46">
        <f t="shared" si="594"/>
        <v>0</v>
      </c>
      <c r="BB128" s="46">
        <f t="shared" si="594"/>
        <v>0</v>
      </c>
      <c r="BC128" s="46">
        <f t="shared" si="594"/>
        <v>0</v>
      </c>
      <c r="BD128" s="46">
        <f t="shared" si="594"/>
        <v>0</v>
      </c>
      <c r="BE128" s="46">
        <f t="shared" si="594"/>
        <v>0</v>
      </c>
      <c r="BF128" s="46">
        <f t="shared" si="594"/>
        <v>0</v>
      </c>
      <c r="BG128" s="46">
        <f t="shared" si="594"/>
        <v>0</v>
      </c>
      <c r="BH128" s="46">
        <f t="shared" si="594"/>
        <v>0</v>
      </c>
      <c r="BI128" s="46">
        <f t="shared" si="594"/>
        <v>0</v>
      </c>
      <c r="BJ128" s="46">
        <f t="shared" si="594"/>
        <v>0</v>
      </c>
      <c r="BK128" s="46">
        <f t="shared" si="594"/>
        <v>0</v>
      </c>
      <c r="BL128" s="46">
        <f t="shared" si="594"/>
        <v>0</v>
      </c>
      <c r="BM128" s="46">
        <f t="shared" si="594"/>
        <v>0</v>
      </c>
      <c r="BN128" s="46">
        <f t="shared" si="594"/>
        <v>0</v>
      </c>
      <c r="BO128" s="46">
        <f t="shared" si="594"/>
        <v>0</v>
      </c>
      <c r="BP128" s="46">
        <f t="shared" si="594"/>
        <v>0</v>
      </c>
      <c r="BQ128" s="46">
        <f t="shared" si="594"/>
        <v>0</v>
      </c>
      <c r="BR128" s="46">
        <f t="shared" si="594"/>
        <v>0</v>
      </c>
      <c r="BS128" s="46">
        <f t="shared" si="594"/>
        <v>0</v>
      </c>
      <c r="BT128" s="46">
        <f t="shared" si="594"/>
        <v>0</v>
      </c>
      <c r="BU128" s="46">
        <f t="shared" si="594"/>
        <v>0</v>
      </c>
      <c r="BV128" s="46">
        <f t="shared" si="594"/>
        <v>0</v>
      </c>
      <c r="BW128" s="46">
        <f t="shared" si="594"/>
        <v>0</v>
      </c>
      <c r="BX128" s="51"/>
      <c r="BY128" s="51"/>
      <c r="BZ128" s="51"/>
      <c r="CA128" s="51"/>
      <c r="CB128" s="51"/>
      <c r="CC128" s="51"/>
      <c r="CD128" s="51"/>
      <c r="CE128" s="51"/>
      <c r="CF128" s="51"/>
      <c r="CG128" s="51"/>
    </row>
    <row r="129" spans="1:85" ht="15.75" customHeight="1">
      <c r="A129" s="68"/>
      <c r="B129" s="103"/>
      <c r="C129" s="68" t="s">
        <v>262</v>
      </c>
      <c r="D129" s="70" t="s">
        <v>281</v>
      </c>
      <c r="E129" s="187">
        <v>0</v>
      </c>
      <c r="F129" s="187">
        <v>0</v>
      </c>
      <c r="G129" s="58">
        <f t="shared" ref="G129:G138" si="595">E129-F129</f>
        <v>0</v>
      </c>
      <c r="H129" s="199">
        <v>300000</v>
      </c>
      <c r="I129" s="59">
        <f t="shared" si="267"/>
        <v>0</v>
      </c>
      <c r="J129" s="59">
        <f t="shared" si="268"/>
        <v>0</v>
      </c>
      <c r="K129" s="74">
        <v>0</v>
      </c>
      <c r="L129" s="74">
        <v>0</v>
      </c>
      <c r="M129" s="74">
        <v>0</v>
      </c>
      <c r="N129" s="74">
        <v>0</v>
      </c>
      <c r="O129" s="61">
        <f t="shared" ref="O129:Q129" si="596">AA129+AD129+AG129+AJ129+AM129+AP129+AS129+AV129+AY129+BB129+BE129+BH129</f>
        <v>0</v>
      </c>
      <c r="P129" s="61">
        <f t="shared" si="596"/>
        <v>0</v>
      </c>
      <c r="Q129" s="61">
        <f t="shared" si="596"/>
        <v>0</v>
      </c>
      <c r="R129" s="61">
        <f t="shared" ref="R129:T129" si="597">IF(BK129=0,SUM(AA129+AD129+AG129+AJ129+AM129+AP129+AS129+AV129+AY129+BB129+BE129+BH129),BK129)</f>
        <v>0</v>
      </c>
      <c r="S129" s="61">
        <f t="shared" si="597"/>
        <v>0</v>
      </c>
      <c r="T129" s="61">
        <f t="shared" si="597"/>
        <v>0</v>
      </c>
      <c r="U129" s="63">
        <f t="shared" ref="U129:U138" si="598">K129-O129</f>
        <v>0</v>
      </c>
      <c r="V129" s="63">
        <f t="shared" ref="V129:V138" si="599">L129-M129-S129</f>
        <v>0</v>
      </c>
      <c r="W129" s="63">
        <f t="shared" ref="W129:W138" si="600">N129-Q129</f>
        <v>0</v>
      </c>
      <c r="X129" s="64">
        <f t="shared" ref="X129:Y129" si="601">IF(O129&gt;0,O129/K129,0)</f>
        <v>0</v>
      </c>
      <c r="Y129" s="64">
        <f t="shared" si="601"/>
        <v>0</v>
      </c>
      <c r="Z129" s="64">
        <f t="shared" si="464"/>
        <v>0</v>
      </c>
      <c r="AA129" s="65"/>
      <c r="AB129" s="65"/>
      <c r="AC129" s="65"/>
      <c r="AD129" s="65"/>
      <c r="AE129" s="66"/>
      <c r="AF129" s="66"/>
      <c r="AG129" s="66"/>
      <c r="AH129" s="66"/>
      <c r="AI129" s="65"/>
      <c r="AJ129" s="65"/>
      <c r="AK129" s="65"/>
      <c r="AL129" s="65"/>
      <c r="AM129" s="65"/>
      <c r="AN129" s="65"/>
      <c r="AO129" s="65"/>
      <c r="AP129" s="65"/>
      <c r="AQ129" s="65"/>
      <c r="AR129" s="65"/>
      <c r="AS129" s="65"/>
      <c r="AT129" s="65"/>
      <c r="AU129" s="65"/>
      <c r="AV129" s="65"/>
      <c r="AW129" s="65"/>
      <c r="AX129" s="65"/>
      <c r="AY129" s="65"/>
      <c r="AZ129" s="65"/>
      <c r="BA129" s="65"/>
      <c r="BB129" s="65"/>
      <c r="BC129" s="65"/>
      <c r="BD129" s="65"/>
      <c r="BE129" s="65"/>
      <c r="BF129" s="65"/>
      <c r="BG129" s="65"/>
      <c r="BH129" s="65"/>
      <c r="BI129" s="65"/>
      <c r="BJ129" s="65"/>
      <c r="BK129" s="65">
        <v>0</v>
      </c>
      <c r="BL129" s="65">
        <v>0</v>
      </c>
      <c r="BM129" s="65">
        <v>0</v>
      </c>
      <c r="BN129" s="65">
        <f t="shared" ref="BN129:BN138" si="602">IF(O129-BK129&gt;0,O129-BK129,0)</f>
        <v>0</v>
      </c>
      <c r="BO129" s="67">
        <f t="shared" ref="BO129:BO138" si="603">IF(Q129-BM129&gt;0,Q129-BM129,0)</f>
        <v>0</v>
      </c>
      <c r="BP129" s="65">
        <f t="shared" ref="BP129:BP138" si="604">IF(BN129+BO129&gt;0,BN129+BO129,0)</f>
        <v>0</v>
      </c>
      <c r="BQ129" s="65">
        <f t="shared" ref="BQ129:BQ138" si="605">IF(U129=0,0,U129)</f>
        <v>0</v>
      </c>
      <c r="BR129" s="65">
        <f t="shared" ref="BR129:BR138" si="606">IF(W129=0,0,W129)</f>
        <v>0</v>
      </c>
      <c r="BS129" s="65">
        <f t="shared" ref="BS129:BS138" si="607">IF(BQ129+BR129&gt;0,BQ129+BR129,0)</f>
        <v>0</v>
      </c>
      <c r="BT129" s="65">
        <f t="shared" ref="BT129:BT138" si="608">IF(V129&gt;0,V129,0)</f>
        <v>0</v>
      </c>
      <c r="BU129" s="65">
        <f t="shared" ref="BU129:BU138" si="609">IF(BP129=0,0,BP129)</f>
        <v>0</v>
      </c>
      <c r="BV129" s="65">
        <f t="shared" ref="BV129:BV138" si="610">IF(BS129=0,0,BS129)</f>
        <v>0</v>
      </c>
      <c r="BW129" s="65">
        <f t="shared" ref="BW129:BW138" si="611">IF(BP129+BT129+BV129&gt;0,BP129+BT129+BV129,0)</f>
        <v>0</v>
      </c>
      <c r="BX129" s="6"/>
      <c r="BY129" s="6"/>
      <c r="BZ129" s="6"/>
      <c r="CA129" s="6"/>
      <c r="CB129" s="6"/>
      <c r="CC129" s="6"/>
      <c r="CD129" s="6"/>
      <c r="CE129" s="6"/>
      <c r="CF129" s="6"/>
      <c r="CG129" s="6"/>
    </row>
    <row r="130" spans="1:85" ht="15.75" customHeight="1">
      <c r="A130" s="68"/>
      <c r="B130" s="103"/>
      <c r="C130" s="68" t="s">
        <v>262</v>
      </c>
      <c r="D130" s="70" t="s">
        <v>282</v>
      </c>
      <c r="E130" s="192">
        <v>0</v>
      </c>
      <c r="F130" s="192">
        <v>0</v>
      </c>
      <c r="G130" s="58">
        <f t="shared" si="595"/>
        <v>0</v>
      </c>
      <c r="H130" s="191">
        <v>250000</v>
      </c>
      <c r="I130" s="59">
        <f t="shared" si="267"/>
        <v>0</v>
      </c>
      <c r="J130" s="59">
        <f t="shared" si="268"/>
        <v>0</v>
      </c>
      <c r="K130" s="74">
        <v>0</v>
      </c>
      <c r="L130" s="74">
        <v>0</v>
      </c>
      <c r="M130" s="74">
        <v>0</v>
      </c>
      <c r="N130" s="74">
        <v>0</v>
      </c>
      <c r="O130" s="61">
        <f t="shared" ref="O130:Q130" si="612">AA130+AD130+AG130+AJ130+AM130+AP130+AS130+AV130+AY130+BB130+BE130+BH130</f>
        <v>0</v>
      </c>
      <c r="P130" s="61">
        <f t="shared" si="612"/>
        <v>0</v>
      </c>
      <c r="Q130" s="61">
        <f t="shared" si="612"/>
        <v>0</v>
      </c>
      <c r="R130" s="61">
        <f t="shared" ref="R130:T130" si="613">IF(BK130=0,SUM(AA130+AD130+AG130+AJ130+AM130+AP130+AS130+AV130+AY130+BB130+BE130+BH130),BK130)</f>
        <v>0</v>
      </c>
      <c r="S130" s="61">
        <f t="shared" si="613"/>
        <v>0</v>
      </c>
      <c r="T130" s="61">
        <f t="shared" si="613"/>
        <v>0</v>
      </c>
      <c r="U130" s="63">
        <f t="shared" si="598"/>
        <v>0</v>
      </c>
      <c r="V130" s="63">
        <f t="shared" si="599"/>
        <v>0</v>
      </c>
      <c r="W130" s="63">
        <f t="shared" si="600"/>
        <v>0</v>
      </c>
      <c r="X130" s="64">
        <f t="shared" ref="X130:Y130" si="614">IF(O130&gt;0,O130/K130,0)</f>
        <v>0</v>
      </c>
      <c r="Y130" s="64">
        <f t="shared" si="614"/>
        <v>0</v>
      </c>
      <c r="Z130" s="64">
        <f t="shared" si="464"/>
        <v>0</v>
      </c>
      <c r="AA130" s="65"/>
      <c r="AB130" s="65"/>
      <c r="AC130" s="65"/>
      <c r="AD130" s="65"/>
      <c r="AE130" s="66"/>
      <c r="AF130" s="66"/>
      <c r="AG130" s="66"/>
      <c r="AH130" s="66"/>
      <c r="AI130" s="65"/>
      <c r="AJ130" s="65"/>
      <c r="AK130" s="65"/>
      <c r="AL130" s="65"/>
      <c r="AM130" s="65"/>
      <c r="AN130" s="65"/>
      <c r="AO130" s="65"/>
      <c r="AP130" s="65"/>
      <c r="AQ130" s="65"/>
      <c r="AR130" s="65"/>
      <c r="AS130" s="65"/>
      <c r="AT130" s="65"/>
      <c r="AU130" s="65"/>
      <c r="AV130" s="65"/>
      <c r="AW130" s="65"/>
      <c r="AX130" s="65"/>
      <c r="AY130" s="65"/>
      <c r="AZ130" s="65"/>
      <c r="BA130" s="65"/>
      <c r="BB130" s="65"/>
      <c r="BC130" s="65"/>
      <c r="BD130" s="65"/>
      <c r="BE130" s="65"/>
      <c r="BF130" s="65"/>
      <c r="BG130" s="65"/>
      <c r="BH130" s="65"/>
      <c r="BI130" s="65"/>
      <c r="BJ130" s="65"/>
      <c r="BK130" s="65">
        <v>0</v>
      </c>
      <c r="BL130" s="65">
        <v>0</v>
      </c>
      <c r="BM130" s="65">
        <v>0</v>
      </c>
      <c r="BN130" s="65">
        <f t="shared" si="602"/>
        <v>0</v>
      </c>
      <c r="BO130" s="67">
        <f t="shared" si="603"/>
        <v>0</v>
      </c>
      <c r="BP130" s="65">
        <f t="shared" si="604"/>
        <v>0</v>
      </c>
      <c r="BQ130" s="65">
        <f t="shared" si="605"/>
        <v>0</v>
      </c>
      <c r="BR130" s="65">
        <f t="shared" si="606"/>
        <v>0</v>
      </c>
      <c r="BS130" s="65">
        <f t="shared" si="607"/>
        <v>0</v>
      </c>
      <c r="BT130" s="65">
        <f t="shared" si="608"/>
        <v>0</v>
      </c>
      <c r="BU130" s="65">
        <f t="shared" si="609"/>
        <v>0</v>
      </c>
      <c r="BV130" s="65">
        <f t="shared" si="610"/>
        <v>0</v>
      </c>
      <c r="BW130" s="65">
        <f t="shared" si="611"/>
        <v>0</v>
      </c>
      <c r="BX130" s="6"/>
      <c r="BY130" s="6"/>
      <c r="BZ130" s="6"/>
      <c r="CA130" s="6"/>
      <c r="CB130" s="6"/>
      <c r="CC130" s="6"/>
      <c r="CD130" s="6"/>
      <c r="CE130" s="6"/>
      <c r="CF130" s="6"/>
      <c r="CG130" s="6"/>
    </row>
    <row r="131" spans="1:85" ht="15.75" customHeight="1">
      <c r="A131" s="68"/>
      <c r="B131" s="103"/>
      <c r="C131" s="68" t="s">
        <v>262</v>
      </c>
      <c r="D131" s="70" t="s">
        <v>283</v>
      </c>
      <c r="E131" s="57">
        <v>0</v>
      </c>
      <c r="F131" s="57">
        <v>0</v>
      </c>
      <c r="G131" s="58">
        <f t="shared" si="595"/>
        <v>0</v>
      </c>
      <c r="H131" s="56">
        <v>400000</v>
      </c>
      <c r="I131" s="59">
        <f t="shared" si="267"/>
        <v>0</v>
      </c>
      <c r="J131" s="59">
        <f t="shared" si="268"/>
        <v>0</v>
      </c>
      <c r="K131" s="74">
        <v>0</v>
      </c>
      <c r="L131" s="74">
        <v>0</v>
      </c>
      <c r="M131" s="74">
        <v>0</v>
      </c>
      <c r="N131" s="74">
        <v>0</v>
      </c>
      <c r="O131" s="61">
        <f t="shared" ref="O131:Q131" si="615">AA131+AD131+AG131+AJ131+AM131+AP131+AS131+AV131+AY131+BB131+BE131+BH131</f>
        <v>0</v>
      </c>
      <c r="P131" s="61">
        <f t="shared" si="615"/>
        <v>0</v>
      </c>
      <c r="Q131" s="61">
        <f t="shared" si="615"/>
        <v>0</v>
      </c>
      <c r="R131" s="61">
        <f t="shared" ref="R131:T131" si="616">IF(BK131=0,SUM(AA131+AD131+AG131+AJ131+AM131+AP131+AS131+AV131+AY131+BB131+BE131+BH131),BK131)</f>
        <v>0</v>
      </c>
      <c r="S131" s="61">
        <f t="shared" si="616"/>
        <v>0</v>
      </c>
      <c r="T131" s="61">
        <f t="shared" si="616"/>
        <v>0</v>
      </c>
      <c r="U131" s="63">
        <f t="shared" si="598"/>
        <v>0</v>
      </c>
      <c r="V131" s="63">
        <f t="shared" si="599"/>
        <v>0</v>
      </c>
      <c r="W131" s="63">
        <f t="shared" si="600"/>
        <v>0</v>
      </c>
      <c r="X131" s="64">
        <f t="shared" ref="X131:Y131" si="617">IF(O131&gt;0,O131/K131,0)</f>
        <v>0</v>
      </c>
      <c r="Y131" s="64">
        <f t="shared" si="617"/>
        <v>0</v>
      </c>
      <c r="Z131" s="64">
        <f t="shared" si="464"/>
        <v>0</v>
      </c>
      <c r="AA131" s="65"/>
      <c r="AB131" s="65"/>
      <c r="AC131" s="65"/>
      <c r="AD131" s="65"/>
      <c r="AE131" s="66"/>
      <c r="AF131" s="66"/>
      <c r="AG131" s="66"/>
      <c r="AH131" s="66"/>
      <c r="AI131" s="65"/>
      <c r="AJ131" s="65"/>
      <c r="AK131" s="65"/>
      <c r="AL131" s="65"/>
      <c r="AM131" s="65"/>
      <c r="AN131" s="65"/>
      <c r="AO131" s="65"/>
      <c r="AP131" s="65"/>
      <c r="AQ131" s="65"/>
      <c r="AR131" s="65"/>
      <c r="AS131" s="65"/>
      <c r="AT131" s="65"/>
      <c r="AU131" s="65"/>
      <c r="AV131" s="65"/>
      <c r="AW131" s="65"/>
      <c r="AX131" s="65"/>
      <c r="AY131" s="65"/>
      <c r="AZ131" s="65"/>
      <c r="BA131" s="65"/>
      <c r="BB131" s="65"/>
      <c r="BC131" s="65"/>
      <c r="BD131" s="65"/>
      <c r="BE131" s="65"/>
      <c r="BF131" s="65"/>
      <c r="BG131" s="65"/>
      <c r="BH131" s="65"/>
      <c r="BI131" s="65"/>
      <c r="BJ131" s="65"/>
      <c r="BK131" s="65">
        <v>0</v>
      </c>
      <c r="BL131" s="65">
        <v>0</v>
      </c>
      <c r="BM131" s="65">
        <v>0</v>
      </c>
      <c r="BN131" s="65">
        <f t="shared" si="602"/>
        <v>0</v>
      </c>
      <c r="BO131" s="67">
        <f t="shared" si="603"/>
        <v>0</v>
      </c>
      <c r="BP131" s="65">
        <f t="shared" si="604"/>
        <v>0</v>
      </c>
      <c r="BQ131" s="65">
        <f t="shared" si="605"/>
        <v>0</v>
      </c>
      <c r="BR131" s="65">
        <f t="shared" si="606"/>
        <v>0</v>
      </c>
      <c r="BS131" s="65">
        <f t="shared" si="607"/>
        <v>0</v>
      </c>
      <c r="BT131" s="65">
        <f t="shared" si="608"/>
        <v>0</v>
      </c>
      <c r="BU131" s="65">
        <f t="shared" si="609"/>
        <v>0</v>
      </c>
      <c r="BV131" s="65">
        <f t="shared" si="610"/>
        <v>0</v>
      </c>
      <c r="BW131" s="65">
        <f t="shared" si="611"/>
        <v>0</v>
      </c>
      <c r="BX131" s="6"/>
      <c r="BY131" s="6"/>
      <c r="BZ131" s="6"/>
      <c r="CA131" s="6"/>
      <c r="CB131" s="6"/>
      <c r="CC131" s="6"/>
      <c r="CD131" s="6"/>
      <c r="CE131" s="6"/>
      <c r="CF131" s="6"/>
      <c r="CG131" s="6"/>
    </row>
    <row r="132" spans="1:85" ht="15.75" customHeight="1">
      <c r="A132" s="68"/>
      <c r="B132" s="103"/>
      <c r="C132" s="68" t="s">
        <v>262</v>
      </c>
      <c r="D132" s="70" t="s">
        <v>284</v>
      </c>
      <c r="E132" s="187">
        <v>0</v>
      </c>
      <c r="F132" s="187">
        <v>0</v>
      </c>
      <c r="G132" s="58">
        <f t="shared" si="595"/>
        <v>0</v>
      </c>
      <c r="H132" s="199">
        <v>2500000</v>
      </c>
      <c r="I132" s="59">
        <f t="shared" si="267"/>
        <v>0</v>
      </c>
      <c r="J132" s="59">
        <f t="shared" si="268"/>
        <v>0</v>
      </c>
      <c r="K132" s="74">
        <v>0</v>
      </c>
      <c r="L132" s="74">
        <v>0</v>
      </c>
      <c r="M132" s="74">
        <v>0</v>
      </c>
      <c r="N132" s="74">
        <v>0</v>
      </c>
      <c r="O132" s="61">
        <f t="shared" ref="O132:Q132" si="618">AA132+AD132+AG132+AJ132+AM132+AP132+AS132+AV132+AY132+BB132+BE132+BH132</f>
        <v>0</v>
      </c>
      <c r="P132" s="61">
        <f t="shared" si="618"/>
        <v>0</v>
      </c>
      <c r="Q132" s="61">
        <f t="shared" si="618"/>
        <v>0</v>
      </c>
      <c r="R132" s="61">
        <f t="shared" ref="R132:T132" si="619">IF(BK132=0,SUM(AA132+AD132+AG132+AJ132+AM132+AP132+AS132+AV132+AY132+BB132+BE132+BH132),BK132)</f>
        <v>0</v>
      </c>
      <c r="S132" s="61">
        <f t="shared" si="619"/>
        <v>0</v>
      </c>
      <c r="T132" s="61">
        <f t="shared" si="619"/>
        <v>0</v>
      </c>
      <c r="U132" s="63">
        <f t="shared" si="598"/>
        <v>0</v>
      </c>
      <c r="V132" s="63">
        <f t="shared" si="599"/>
        <v>0</v>
      </c>
      <c r="W132" s="63">
        <f t="shared" si="600"/>
        <v>0</v>
      </c>
      <c r="X132" s="64">
        <f t="shared" ref="X132:Y132" si="620">IF(O132&gt;0,O132/K132,0)</f>
        <v>0</v>
      </c>
      <c r="Y132" s="64">
        <f t="shared" si="620"/>
        <v>0</v>
      </c>
      <c r="Z132" s="64">
        <f t="shared" si="464"/>
        <v>0</v>
      </c>
      <c r="AA132" s="65"/>
      <c r="AB132" s="65"/>
      <c r="AC132" s="65"/>
      <c r="AD132" s="65"/>
      <c r="AE132" s="66"/>
      <c r="AF132" s="66"/>
      <c r="AG132" s="66"/>
      <c r="AH132" s="66"/>
      <c r="AI132" s="65"/>
      <c r="AJ132" s="65"/>
      <c r="AK132" s="65"/>
      <c r="AL132" s="65"/>
      <c r="AM132" s="65"/>
      <c r="AN132" s="65"/>
      <c r="AO132" s="65"/>
      <c r="AP132" s="65"/>
      <c r="AQ132" s="65"/>
      <c r="AR132" s="65"/>
      <c r="AS132" s="65"/>
      <c r="AT132" s="65"/>
      <c r="AU132" s="65"/>
      <c r="AV132" s="65"/>
      <c r="AW132" s="65"/>
      <c r="AX132" s="65"/>
      <c r="AY132" s="65"/>
      <c r="AZ132" s="65"/>
      <c r="BA132" s="65"/>
      <c r="BB132" s="65"/>
      <c r="BC132" s="65"/>
      <c r="BD132" s="65"/>
      <c r="BE132" s="65"/>
      <c r="BF132" s="65"/>
      <c r="BG132" s="65"/>
      <c r="BH132" s="65"/>
      <c r="BI132" s="65"/>
      <c r="BJ132" s="65"/>
      <c r="BK132" s="65">
        <v>0</v>
      </c>
      <c r="BL132" s="65">
        <v>0</v>
      </c>
      <c r="BM132" s="65">
        <v>0</v>
      </c>
      <c r="BN132" s="65">
        <f t="shared" si="602"/>
        <v>0</v>
      </c>
      <c r="BO132" s="67">
        <f t="shared" si="603"/>
        <v>0</v>
      </c>
      <c r="BP132" s="65">
        <f t="shared" si="604"/>
        <v>0</v>
      </c>
      <c r="BQ132" s="65">
        <f t="shared" si="605"/>
        <v>0</v>
      </c>
      <c r="BR132" s="65">
        <f t="shared" si="606"/>
        <v>0</v>
      </c>
      <c r="BS132" s="65">
        <f t="shared" si="607"/>
        <v>0</v>
      </c>
      <c r="BT132" s="65">
        <f t="shared" si="608"/>
        <v>0</v>
      </c>
      <c r="BU132" s="65">
        <f t="shared" si="609"/>
        <v>0</v>
      </c>
      <c r="BV132" s="65">
        <f t="shared" si="610"/>
        <v>0</v>
      </c>
      <c r="BW132" s="65">
        <f t="shared" si="611"/>
        <v>0</v>
      </c>
      <c r="BX132" s="6"/>
      <c r="BY132" s="6"/>
      <c r="BZ132" s="6"/>
      <c r="CA132" s="6"/>
      <c r="CB132" s="6"/>
      <c r="CC132" s="6"/>
      <c r="CD132" s="6"/>
      <c r="CE132" s="6"/>
      <c r="CF132" s="6"/>
      <c r="CG132" s="6"/>
    </row>
    <row r="133" spans="1:85" ht="15.75" customHeight="1">
      <c r="A133" s="68"/>
      <c r="B133" s="103"/>
      <c r="C133" s="68" t="s">
        <v>262</v>
      </c>
      <c r="D133" s="105" t="s">
        <v>285</v>
      </c>
      <c r="E133" s="57">
        <v>0</v>
      </c>
      <c r="F133" s="57">
        <v>0</v>
      </c>
      <c r="G133" s="58">
        <f t="shared" si="595"/>
        <v>0</v>
      </c>
      <c r="H133" s="56">
        <v>1000000</v>
      </c>
      <c r="I133" s="59">
        <f t="shared" si="267"/>
        <v>0</v>
      </c>
      <c r="J133" s="59">
        <f t="shared" si="268"/>
        <v>0</v>
      </c>
      <c r="K133" s="74">
        <v>0</v>
      </c>
      <c r="L133" s="74">
        <v>0</v>
      </c>
      <c r="M133" s="74">
        <v>0</v>
      </c>
      <c r="N133" s="74">
        <v>0</v>
      </c>
      <c r="O133" s="61">
        <f t="shared" ref="O133:Q133" si="621">AA133+AD133+AG133+AJ133+AM133+AP133+AS133+AV133+AY133+BB133+BE133+BH133</f>
        <v>0</v>
      </c>
      <c r="P133" s="61">
        <f t="shared" si="621"/>
        <v>0</v>
      </c>
      <c r="Q133" s="61">
        <f t="shared" si="621"/>
        <v>0</v>
      </c>
      <c r="R133" s="61">
        <f t="shared" ref="R133:T133" si="622">IF(BK133=0,SUM(AA133+AD133+AG133+AJ133+AM133+AP133+AS133+AV133+AY133+BB133+BE133+BH133),BK133)</f>
        <v>0</v>
      </c>
      <c r="S133" s="61">
        <f t="shared" si="622"/>
        <v>0</v>
      </c>
      <c r="T133" s="61">
        <f t="shared" si="622"/>
        <v>0</v>
      </c>
      <c r="U133" s="63">
        <f t="shared" si="598"/>
        <v>0</v>
      </c>
      <c r="V133" s="63">
        <f t="shared" si="599"/>
        <v>0</v>
      </c>
      <c r="W133" s="63">
        <f t="shared" si="600"/>
        <v>0</v>
      </c>
      <c r="X133" s="64">
        <f t="shared" ref="X133:Y133" si="623">IF(O133&gt;0,O133/K133,0)</f>
        <v>0</v>
      </c>
      <c r="Y133" s="64">
        <f t="shared" si="623"/>
        <v>0</v>
      </c>
      <c r="Z133" s="64">
        <f t="shared" si="464"/>
        <v>0</v>
      </c>
      <c r="AA133" s="65"/>
      <c r="AB133" s="65"/>
      <c r="AC133" s="65"/>
      <c r="AD133" s="65"/>
      <c r="AE133" s="66"/>
      <c r="AF133" s="66"/>
      <c r="AG133" s="66"/>
      <c r="AH133" s="66"/>
      <c r="AI133" s="65"/>
      <c r="AJ133" s="65"/>
      <c r="AK133" s="65"/>
      <c r="AL133" s="65"/>
      <c r="AM133" s="65"/>
      <c r="AN133" s="65"/>
      <c r="AO133" s="65"/>
      <c r="AP133" s="65"/>
      <c r="AQ133" s="65"/>
      <c r="AR133" s="65"/>
      <c r="AS133" s="65"/>
      <c r="AT133" s="65"/>
      <c r="AU133" s="65"/>
      <c r="AV133" s="65"/>
      <c r="AW133" s="65"/>
      <c r="AX133" s="65"/>
      <c r="AY133" s="65"/>
      <c r="AZ133" s="65"/>
      <c r="BA133" s="65"/>
      <c r="BB133" s="65"/>
      <c r="BC133" s="65"/>
      <c r="BD133" s="65"/>
      <c r="BE133" s="65"/>
      <c r="BF133" s="65"/>
      <c r="BG133" s="65"/>
      <c r="BH133" s="65"/>
      <c r="BI133" s="65"/>
      <c r="BJ133" s="65"/>
      <c r="BK133" s="65">
        <v>0</v>
      </c>
      <c r="BL133" s="65">
        <v>0</v>
      </c>
      <c r="BM133" s="65">
        <v>0</v>
      </c>
      <c r="BN133" s="65">
        <f t="shared" si="602"/>
        <v>0</v>
      </c>
      <c r="BO133" s="67">
        <f t="shared" si="603"/>
        <v>0</v>
      </c>
      <c r="BP133" s="65">
        <f t="shared" si="604"/>
        <v>0</v>
      </c>
      <c r="BQ133" s="65">
        <f t="shared" si="605"/>
        <v>0</v>
      </c>
      <c r="BR133" s="65">
        <f t="shared" si="606"/>
        <v>0</v>
      </c>
      <c r="BS133" s="65">
        <f t="shared" si="607"/>
        <v>0</v>
      </c>
      <c r="BT133" s="65">
        <f t="shared" si="608"/>
        <v>0</v>
      </c>
      <c r="BU133" s="65">
        <f t="shared" si="609"/>
        <v>0</v>
      </c>
      <c r="BV133" s="65">
        <f t="shared" si="610"/>
        <v>0</v>
      </c>
      <c r="BW133" s="65">
        <f t="shared" si="611"/>
        <v>0</v>
      </c>
      <c r="BX133" s="6"/>
      <c r="BY133" s="6"/>
      <c r="BZ133" s="6"/>
      <c r="CA133" s="6"/>
      <c r="CB133" s="6"/>
      <c r="CC133" s="6"/>
      <c r="CD133" s="6"/>
      <c r="CE133" s="6"/>
      <c r="CF133" s="6"/>
      <c r="CG133" s="6"/>
    </row>
    <row r="134" spans="1:85" ht="15.75" customHeight="1">
      <c r="A134" s="68"/>
      <c r="B134" s="103"/>
      <c r="C134" s="68" t="s">
        <v>262</v>
      </c>
      <c r="D134" s="70" t="s">
        <v>286</v>
      </c>
      <c r="E134" s="187">
        <v>0</v>
      </c>
      <c r="F134" s="187">
        <v>0</v>
      </c>
      <c r="G134" s="58">
        <f t="shared" si="595"/>
        <v>0</v>
      </c>
      <c r="H134" s="199">
        <v>300000</v>
      </c>
      <c r="I134" s="59">
        <f t="shared" si="267"/>
        <v>0</v>
      </c>
      <c r="J134" s="59">
        <f t="shared" si="268"/>
        <v>0</v>
      </c>
      <c r="K134" s="74">
        <v>0</v>
      </c>
      <c r="L134" s="74">
        <v>0</v>
      </c>
      <c r="M134" s="74">
        <v>0</v>
      </c>
      <c r="N134" s="74">
        <v>0</v>
      </c>
      <c r="O134" s="61">
        <f t="shared" ref="O134:Q134" si="624">AA134+AD134+AG134+AJ134+AM134+AP134+AS134+AV134+AY134+BB134+BE134+BH134</f>
        <v>0</v>
      </c>
      <c r="P134" s="61">
        <f t="shared" si="624"/>
        <v>0</v>
      </c>
      <c r="Q134" s="61">
        <f t="shared" si="624"/>
        <v>0</v>
      </c>
      <c r="R134" s="61">
        <f t="shared" ref="R134:T134" si="625">IF(BK134=0,SUM(AA134+AD134+AG134+AJ134+AM134+AP134+AS134+AV134+AY134+BB134+BE134+BH134),BK134)</f>
        <v>0</v>
      </c>
      <c r="S134" s="61">
        <f t="shared" si="625"/>
        <v>0</v>
      </c>
      <c r="T134" s="61">
        <f t="shared" si="625"/>
        <v>0</v>
      </c>
      <c r="U134" s="63">
        <f t="shared" si="598"/>
        <v>0</v>
      </c>
      <c r="V134" s="63">
        <f t="shared" si="599"/>
        <v>0</v>
      </c>
      <c r="W134" s="63">
        <f t="shared" si="600"/>
        <v>0</v>
      </c>
      <c r="X134" s="64">
        <f t="shared" ref="X134:Y134" si="626">IF(O134&gt;0,O134/K134,0)</f>
        <v>0</v>
      </c>
      <c r="Y134" s="64">
        <f t="shared" si="626"/>
        <v>0</v>
      </c>
      <c r="Z134" s="64">
        <f t="shared" si="464"/>
        <v>0</v>
      </c>
      <c r="AA134" s="65"/>
      <c r="AB134" s="65"/>
      <c r="AC134" s="65"/>
      <c r="AD134" s="65"/>
      <c r="AE134" s="66"/>
      <c r="AF134" s="66"/>
      <c r="AG134" s="66"/>
      <c r="AH134" s="66"/>
      <c r="AI134" s="65"/>
      <c r="AJ134" s="65"/>
      <c r="AK134" s="65"/>
      <c r="AL134" s="65"/>
      <c r="AM134" s="65"/>
      <c r="AN134" s="65"/>
      <c r="AO134" s="65"/>
      <c r="AP134" s="65"/>
      <c r="AQ134" s="65"/>
      <c r="AR134" s="65"/>
      <c r="AS134" s="65"/>
      <c r="AT134" s="65"/>
      <c r="AU134" s="65"/>
      <c r="AV134" s="65"/>
      <c r="AW134" s="65"/>
      <c r="AX134" s="65"/>
      <c r="AY134" s="65"/>
      <c r="AZ134" s="65"/>
      <c r="BA134" s="65"/>
      <c r="BB134" s="65"/>
      <c r="BC134" s="65"/>
      <c r="BD134" s="65"/>
      <c r="BE134" s="65"/>
      <c r="BF134" s="65"/>
      <c r="BG134" s="65"/>
      <c r="BH134" s="65"/>
      <c r="BI134" s="65"/>
      <c r="BJ134" s="65"/>
      <c r="BK134" s="65">
        <v>0</v>
      </c>
      <c r="BL134" s="65">
        <v>0</v>
      </c>
      <c r="BM134" s="65">
        <v>0</v>
      </c>
      <c r="BN134" s="65">
        <f t="shared" si="602"/>
        <v>0</v>
      </c>
      <c r="BO134" s="67">
        <f t="shared" si="603"/>
        <v>0</v>
      </c>
      <c r="BP134" s="65">
        <f t="shared" si="604"/>
        <v>0</v>
      </c>
      <c r="BQ134" s="65">
        <f t="shared" si="605"/>
        <v>0</v>
      </c>
      <c r="BR134" s="65">
        <f t="shared" si="606"/>
        <v>0</v>
      </c>
      <c r="BS134" s="65">
        <f t="shared" si="607"/>
        <v>0</v>
      </c>
      <c r="BT134" s="65">
        <f t="shared" si="608"/>
        <v>0</v>
      </c>
      <c r="BU134" s="65">
        <f t="shared" si="609"/>
        <v>0</v>
      </c>
      <c r="BV134" s="65">
        <f t="shared" si="610"/>
        <v>0</v>
      </c>
      <c r="BW134" s="65">
        <f t="shared" si="611"/>
        <v>0</v>
      </c>
      <c r="BX134" s="6"/>
      <c r="BY134" s="6"/>
      <c r="BZ134" s="6"/>
      <c r="CA134" s="6"/>
      <c r="CB134" s="6"/>
      <c r="CC134" s="6"/>
      <c r="CD134" s="6"/>
      <c r="CE134" s="6"/>
      <c r="CF134" s="6"/>
      <c r="CG134" s="6"/>
    </row>
    <row r="135" spans="1:85" ht="15.75" customHeight="1">
      <c r="A135" s="68"/>
      <c r="B135" s="103"/>
      <c r="C135" s="68" t="s">
        <v>262</v>
      </c>
      <c r="D135" s="70" t="s">
        <v>287</v>
      </c>
      <c r="E135" s="192">
        <v>0</v>
      </c>
      <c r="F135" s="192">
        <v>0</v>
      </c>
      <c r="G135" s="58">
        <f t="shared" si="595"/>
        <v>0</v>
      </c>
      <c r="H135" s="191">
        <v>400000</v>
      </c>
      <c r="I135" s="59">
        <f t="shared" si="267"/>
        <v>0</v>
      </c>
      <c r="J135" s="59">
        <f t="shared" si="268"/>
        <v>0</v>
      </c>
      <c r="K135" s="74">
        <v>0</v>
      </c>
      <c r="L135" s="74">
        <v>0</v>
      </c>
      <c r="M135" s="74">
        <v>0</v>
      </c>
      <c r="N135" s="74">
        <v>0</v>
      </c>
      <c r="O135" s="61">
        <f t="shared" ref="O135:Q135" si="627">AA135+AD135+AG135+AJ135+AM135+AP135+AS135+AV135+AY135+BB135+BE135+BH135</f>
        <v>0</v>
      </c>
      <c r="P135" s="61">
        <f t="shared" si="627"/>
        <v>0</v>
      </c>
      <c r="Q135" s="61">
        <f t="shared" si="627"/>
        <v>0</v>
      </c>
      <c r="R135" s="61">
        <f t="shared" ref="R135:T135" si="628">IF(BK135=0,SUM(AA135+AD135+AG135+AJ135+AM135+AP135+AS135+AV135+AY135+BB135+BE135+BH135),BK135)</f>
        <v>0</v>
      </c>
      <c r="S135" s="61">
        <f t="shared" si="628"/>
        <v>0</v>
      </c>
      <c r="T135" s="61">
        <f t="shared" si="628"/>
        <v>0</v>
      </c>
      <c r="U135" s="63">
        <f t="shared" si="598"/>
        <v>0</v>
      </c>
      <c r="V135" s="63">
        <f t="shared" si="599"/>
        <v>0</v>
      </c>
      <c r="W135" s="63">
        <f t="shared" si="600"/>
        <v>0</v>
      </c>
      <c r="X135" s="64">
        <f t="shared" ref="X135:Y135" si="629">IF(O135&gt;0,O135/K135,0)</f>
        <v>0</v>
      </c>
      <c r="Y135" s="64">
        <f t="shared" si="629"/>
        <v>0</v>
      </c>
      <c r="Z135" s="64">
        <f t="shared" si="464"/>
        <v>0</v>
      </c>
      <c r="AA135" s="65"/>
      <c r="AB135" s="65"/>
      <c r="AC135" s="65"/>
      <c r="AD135" s="65"/>
      <c r="AE135" s="66"/>
      <c r="AF135" s="66"/>
      <c r="AG135" s="66"/>
      <c r="AH135" s="66"/>
      <c r="AI135" s="65"/>
      <c r="AJ135" s="65"/>
      <c r="AK135" s="65"/>
      <c r="AL135" s="65"/>
      <c r="AM135" s="65"/>
      <c r="AN135" s="65"/>
      <c r="AO135" s="65"/>
      <c r="AP135" s="65"/>
      <c r="AQ135" s="65"/>
      <c r="AR135" s="65"/>
      <c r="AS135" s="65"/>
      <c r="AT135" s="65"/>
      <c r="AU135" s="65"/>
      <c r="AV135" s="65"/>
      <c r="AW135" s="65"/>
      <c r="AX135" s="65"/>
      <c r="AY135" s="65"/>
      <c r="AZ135" s="65"/>
      <c r="BA135" s="65"/>
      <c r="BB135" s="65"/>
      <c r="BC135" s="65"/>
      <c r="BD135" s="65"/>
      <c r="BE135" s="65"/>
      <c r="BF135" s="65"/>
      <c r="BG135" s="65"/>
      <c r="BH135" s="65"/>
      <c r="BI135" s="65"/>
      <c r="BJ135" s="65"/>
      <c r="BK135" s="65">
        <v>0</v>
      </c>
      <c r="BL135" s="65">
        <v>0</v>
      </c>
      <c r="BM135" s="65">
        <v>0</v>
      </c>
      <c r="BN135" s="65">
        <f t="shared" si="602"/>
        <v>0</v>
      </c>
      <c r="BO135" s="67">
        <f t="shared" si="603"/>
        <v>0</v>
      </c>
      <c r="BP135" s="65">
        <f t="shared" si="604"/>
        <v>0</v>
      </c>
      <c r="BQ135" s="65">
        <f t="shared" si="605"/>
        <v>0</v>
      </c>
      <c r="BR135" s="65">
        <f t="shared" si="606"/>
        <v>0</v>
      </c>
      <c r="BS135" s="65">
        <f t="shared" si="607"/>
        <v>0</v>
      </c>
      <c r="BT135" s="65">
        <f t="shared" si="608"/>
        <v>0</v>
      </c>
      <c r="BU135" s="65">
        <f t="shared" si="609"/>
        <v>0</v>
      </c>
      <c r="BV135" s="65">
        <f t="shared" si="610"/>
        <v>0</v>
      </c>
      <c r="BW135" s="65">
        <f t="shared" si="611"/>
        <v>0</v>
      </c>
      <c r="BX135" s="6"/>
      <c r="BY135" s="6"/>
      <c r="BZ135" s="6"/>
      <c r="CA135" s="6"/>
      <c r="CB135" s="6"/>
      <c r="CC135" s="6"/>
      <c r="CD135" s="6"/>
      <c r="CE135" s="6"/>
      <c r="CF135" s="6"/>
      <c r="CG135" s="6"/>
    </row>
    <row r="136" spans="1:85" ht="15.75" customHeight="1">
      <c r="A136" s="68"/>
      <c r="B136" s="103"/>
      <c r="C136" s="68" t="s">
        <v>288</v>
      </c>
      <c r="D136" s="70" t="s">
        <v>289</v>
      </c>
      <c r="E136" s="57">
        <v>0</v>
      </c>
      <c r="F136" s="57">
        <v>0</v>
      </c>
      <c r="G136" s="58">
        <f t="shared" si="595"/>
        <v>0</v>
      </c>
      <c r="H136" s="56">
        <v>300000</v>
      </c>
      <c r="I136" s="59">
        <f t="shared" si="267"/>
        <v>0</v>
      </c>
      <c r="J136" s="59">
        <f t="shared" si="268"/>
        <v>0</v>
      </c>
      <c r="K136" s="74">
        <v>0</v>
      </c>
      <c r="L136" s="74">
        <v>0</v>
      </c>
      <c r="M136" s="74">
        <v>0</v>
      </c>
      <c r="N136" s="74">
        <v>0</v>
      </c>
      <c r="O136" s="61">
        <f t="shared" ref="O136:Q136" si="630">AA136+AD136+AG136+AJ136+AM136+AP136+AS136+AV136+AY136+BB136+BE136+BH136</f>
        <v>0</v>
      </c>
      <c r="P136" s="61">
        <f t="shared" si="630"/>
        <v>0</v>
      </c>
      <c r="Q136" s="61">
        <f t="shared" si="630"/>
        <v>0</v>
      </c>
      <c r="R136" s="61">
        <f t="shared" ref="R136:T136" si="631">IF(BK136=0,SUM(AA136+AD136+AG136+AJ136+AM136+AP136+AS136+AV136+AY136+BB136+BE136+BH136),BK136)</f>
        <v>0</v>
      </c>
      <c r="S136" s="61">
        <f t="shared" si="631"/>
        <v>0</v>
      </c>
      <c r="T136" s="61">
        <f t="shared" si="631"/>
        <v>0</v>
      </c>
      <c r="U136" s="63">
        <f t="shared" si="598"/>
        <v>0</v>
      </c>
      <c r="V136" s="63">
        <f t="shared" si="599"/>
        <v>0</v>
      </c>
      <c r="W136" s="63">
        <f t="shared" si="600"/>
        <v>0</v>
      </c>
      <c r="X136" s="64">
        <f t="shared" ref="X136:Y136" si="632">IF(O136&gt;0,O136/K136,0)</f>
        <v>0</v>
      </c>
      <c r="Y136" s="64">
        <f t="shared" si="632"/>
        <v>0</v>
      </c>
      <c r="Z136" s="64">
        <f t="shared" si="464"/>
        <v>0</v>
      </c>
      <c r="AA136" s="65"/>
      <c r="AB136" s="65"/>
      <c r="AC136" s="65"/>
      <c r="AD136" s="65"/>
      <c r="AE136" s="66"/>
      <c r="AF136" s="66"/>
      <c r="AG136" s="66"/>
      <c r="AH136" s="66"/>
      <c r="AI136" s="65"/>
      <c r="AJ136" s="65"/>
      <c r="AK136" s="65"/>
      <c r="AL136" s="65"/>
      <c r="AM136" s="65"/>
      <c r="AN136" s="65"/>
      <c r="AO136" s="65"/>
      <c r="AP136" s="65"/>
      <c r="AQ136" s="65"/>
      <c r="AR136" s="65"/>
      <c r="AS136" s="65"/>
      <c r="AT136" s="65"/>
      <c r="AU136" s="65"/>
      <c r="AV136" s="65"/>
      <c r="AW136" s="65"/>
      <c r="AX136" s="65"/>
      <c r="AY136" s="65"/>
      <c r="AZ136" s="65"/>
      <c r="BA136" s="65"/>
      <c r="BB136" s="65"/>
      <c r="BC136" s="65"/>
      <c r="BD136" s="65"/>
      <c r="BE136" s="65"/>
      <c r="BF136" s="65"/>
      <c r="BG136" s="65"/>
      <c r="BH136" s="65"/>
      <c r="BI136" s="65"/>
      <c r="BJ136" s="65"/>
      <c r="BK136" s="65">
        <v>0</v>
      </c>
      <c r="BL136" s="65">
        <v>0</v>
      </c>
      <c r="BM136" s="65">
        <v>0</v>
      </c>
      <c r="BN136" s="65">
        <f t="shared" si="602"/>
        <v>0</v>
      </c>
      <c r="BO136" s="67">
        <f t="shared" si="603"/>
        <v>0</v>
      </c>
      <c r="BP136" s="65">
        <f t="shared" si="604"/>
        <v>0</v>
      </c>
      <c r="BQ136" s="65">
        <f t="shared" si="605"/>
        <v>0</v>
      </c>
      <c r="BR136" s="65">
        <f t="shared" si="606"/>
        <v>0</v>
      </c>
      <c r="BS136" s="65">
        <f t="shared" si="607"/>
        <v>0</v>
      </c>
      <c r="BT136" s="65">
        <f t="shared" si="608"/>
        <v>0</v>
      </c>
      <c r="BU136" s="65">
        <f t="shared" si="609"/>
        <v>0</v>
      </c>
      <c r="BV136" s="65">
        <f t="shared" si="610"/>
        <v>0</v>
      </c>
      <c r="BW136" s="65">
        <f t="shared" si="611"/>
        <v>0</v>
      </c>
      <c r="BX136" s="6"/>
      <c r="BY136" s="6"/>
      <c r="BZ136" s="6"/>
      <c r="CA136" s="6"/>
      <c r="CB136" s="6"/>
      <c r="CC136" s="6"/>
      <c r="CD136" s="6"/>
      <c r="CE136" s="6"/>
      <c r="CF136" s="6"/>
      <c r="CG136" s="6"/>
    </row>
    <row r="137" spans="1:85" ht="15.75" customHeight="1">
      <c r="A137" s="71"/>
      <c r="B137" s="72"/>
      <c r="C137" s="68" t="s">
        <v>288</v>
      </c>
      <c r="D137" s="105" t="s">
        <v>290</v>
      </c>
      <c r="E137" s="57">
        <v>0</v>
      </c>
      <c r="F137" s="57">
        <v>0</v>
      </c>
      <c r="G137" s="58">
        <f t="shared" si="595"/>
        <v>0</v>
      </c>
      <c r="H137" s="56">
        <v>150000</v>
      </c>
      <c r="I137" s="59">
        <f t="shared" si="267"/>
        <v>0</v>
      </c>
      <c r="J137" s="59">
        <f t="shared" si="268"/>
        <v>0</v>
      </c>
      <c r="K137" s="74">
        <v>0</v>
      </c>
      <c r="L137" s="74">
        <v>0</v>
      </c>
      <c r="M137" s="74">
        <v>0</v>
      </c>
      <c r="N137" s="74">
        <v>0</v>
      </c>
      <c r="O137" s="61">
        <f t="shared" ref="O137:Q137" si="633">AA137+AD137+AG137+AJ137+AM137+AP137+AS137+AV137+AY137+BB137+BE137+BH137</f>
        <v>0</v>
      </c>
      <c r="P137" s="61">
        <f t="shared" si="633"/>
        <v>0</v>
      </c>
      <c r="Q137" s="61">
        <f t="shared" si="633"/>
        <v>0</v>
      </c>
      <c r="R137" s="61">
        <f t="shared" ref="R137:T137" si="634">IF(BK137=0,SUM(AA137+AD137+AG137+AJ137+AM137+AP137+AS137+AV137+AY137+BB137+BE137+BH137),BK137)</f>
        <v>0</v>
      </c>
      <c r="S137" s="61">
        <f t="shared" si="634"/>
        <v>0</v>
      </c>
      <c r="T137" s="61">
        <f t="shared" si="634"/>
        <v>0</v>
      </c>
      <c r="U137" s="63">
        <f t="shared" si="598"/>
        <v>0</v>
      </c>
      <c r="V137" s="63">
        <f t="shared" si="599"/>
        <v>0</v>
      </c>
      <c r="W137" s="63">
        <f t="shared" si="600"/>
        <v>0</v>
      </c>
      <c r="X137" s="64">
        <f t="shared" ref="X137:Y137" si="635">IF(O137&gt;0,O137/K137,0)</f>
        <v>0</v>
      </c>
      <c r="Y137" s="64">
        <f t="shared" si="635"/>
        <v>0</v>
      </c>
      <c r="Z137" s="64">
        <f t="shared" si="464"/>
        <v>0</v>
      </c>
      <c r="AA137" s="65"/>
      <c r="AB137" s="65"/>
      <c r="AC137" s="65"/>
      <c r="AD137" s="65"/>
      <c r="AE137" s="66"/>
      <c r="AF137" s="66"/>
      <c r="AG137" s="66"/>
      <c r="AH137" s="66"/>
      <c r="AI137" s="65"/>
      <c r="AJ137" s="65"/>
      <c r="AK137" s="65"/>
      <c r="AL137" s="65"/>
      <c r="AM137" s="65"/>
      <c r="AN137" s="65"/>
      <c r="AO137" s="65"/>
      <c r="AP137" s="65"/>
      <c r="AQ137" s="65"/>
      <c r="AR137" s="65"/>
      <c r="AS137" s="65"/>
      <c r="AT137" s="65"/>
      <c r="AU137" s="65"/>
      <c r="AV137" s="65"/>
      <c r="AW137" s="65"/>
      <c r="AX137" s="65"/>
      <c r="AY137" s="65"/>
      <c r="AZ137" s="65"/>
      <c r="BA137" s="65"/>
      <c r="BB137" s="65"/>
      <c r="BC137" s="65"/>
      <c r="BD137" s="65"/>
      <c r="BE137" s="65"/>
      <c r="BF137" s="65"/>
      <c r="BG137" s="65"/>
      <c r="BH137" s="65"/>
      <c r="BI137" s="65"/>
      <c r="BJ137" s="65"/>
      <c r="BK137" s="65">
        <v>0</v>
      </c>
      <c r="BL137" s="65">
        <v>0</v>
      </c>
      <c r="BM137" s="65">
        <v>0</v>
      </c>
      <c r="BN137" s="65">
        <f t="shared" si="602"/>
        <v>0</v>
      </c>
      <c r="BO137" s="67">
        <f t="shared" si="603"/>
        <v>0</v>
      </c>
      <c r="BP137" s="65">
        <f t="shared" si="604"/>
        <v>0</v>
      </c>
      <c r="BQ137" s="65">
        <f t="shared" si="605"/>
        <v>0</v>
      </c>
      <c r="BR137" s="65">
        <f t="shared" si="606"/>
        <v>0</v>
      </c>
      <c r="BS137" s="65">
        <f t="shared" si="607"/>
        <v>0</v>
      </c>
      <c r="BT137" s="65">
        <f t="shared" si="608"/>
        <v>0</v>
      </c>
      <c r="BU137" s="65">
        <f t="shared" si="609"/>
        <v>0</v>
      </c>
      <c r="BV137" s="65">
        <f t="shared" si="610"/>
        <v>0</v>
      </c>
      <c r="BW137" s="65">
        <f t="shared" si="611"/>
        <v>0</v>
      </c>
      <c r="BX137" s="6"/>
      <c r="BY137" s="6"/>
      <c r="BZ137" s="6"/>
      <c r="CA137" s="6"/>
      <c r="CB137" s="6"/>
      <c r="CC137" s="6"/>
      <c r="CD137" s="6"/>
      <c r="CE137" s="6"/>
      <c r="CF137" s="6"/>
      <c r="CG137" s="6"/>
    </row>
    <row r="138" spans="1:85" ht="15.75" customHeight="1">
      <c r="A138" s="71"/>
      <c r="B138" s="72"/>
      <c r="C138" s="71" t="s">
        <v>288</v>
      </c>
      <c r="D138" s="73" t="s">
        <v>291</v>
      </c>
      <c r="E138" s="187">
        <v>0</v>
      </c>
      <c r="F138" s="187">
        <v>0</v>
      </c>
      <c r="G138" s="58">
        <f t="shared" si="595"/>
        <v>0</v>
      </c>
      <c r="H138" s="199">
        <v>300000</v>
      </c>
      <c r="I138" s="59">
        <f t="shared" si="267"/>
        <v>0</v>
      </c>
      <c r="J138" s="59">
        <f t="shared" si="268"/>
        <v>0</v>
      </c>
      <c r="K138" s="74">
        <v>0</v>
      </c>
      <c r="L138" s="74">
        <v>0</v>
      </c>
      <c r="M138" s="74">
        <v>0</v>
      </c>
      <c r="N138" s="74">
        <v>0</v>
      </c>
      <c r="O138" s="61">
        <f t="shared" ref="O138:Q138" si="636">AA138+AD138+AG138+AJ138+AM138+AP138+AS138+AV138+AY138+BB138+BE138+BH138</f>
        <v>0</v>
      </c>
      <c r="P138" s="61">
        <f t="shared" si="636"/>
        <v>0</v>
      </c>
      <c r="Q138" s="61">
        <f t="shared" si="636"/>
        <v>0</v>
      </c>
      <c r="R138" s="61">
        <f t="shared" ref="R138:T138" si="637">IF(BK138=0,SUM(AA138+AD138+AG138+AJ138+AM138+AP138+AS138+AV138+AY138+BB138+BE138+BH138),BK138)</f>
        <v>0</v>
      </c>
      <c r="S138" s="61">
        <f t="shared" si="637"/>
        <v>0</v>
      </c>
      <c r="T138" s="61">
        <f t="shared" si="637"/>
        <v>0</v>
      </c>
      <c r="U138" s="63">
        <f t="shared" si="598"/>
        <v>0</v>
      </c>
      <c r="V138" s="63">
        <f t="shared" si="599"/>
        <v>0</v>
      </c>
      <c r="W138" s="63">
        <f t="shared" si="600"/>
        <v>0</v>
      </c>
      <c r="X138" s="64">
        <f t="shared" ref="X138:Y138" si="638">IF(O138&gt;0,O138/K138,0)</f>
        <v>0</v>
      </c>
      <c r="Y138" s="64">
        <f t="shared" si="638"/>
        <v>0</v>
      </c>
      <c r="Z138" s="64">
        <f t="shared" si="464"/>
        <v>0</v>
      </c>
      <c r="AA138" s="65"/>
      <c r="AB138" s="65"/>
      <c r="AC138" s="65"/>
      <c r="AD138" s="65"/>
      <c r="AE138" s="66"/>
      <c r="AF138" s="66"/>
      <c r="AG138" s="66"/>
      <c r="AH138" s="66"/>
      <c r="AI138" s="65"/>
      <c r="AJ138" s="65"/>
      <c r="AK138" s="65"/>
      <c r="AL138" s="65"/>
      <c r="AM138" s="65"/>
      <c r="AN138" s="65"/>
      <c r="AO138" s="65"/>
      <c r="AP138" s="65"/>
      <c r="AQ138" s="65"/>
      <c r="AR138" s="65"/>
      <c r="AS138" s="65"/>
      <c r="AT138" s="65"/>
      <c r="AU138" s="65"/>
      <c r="AV138" s="65"/>
      <c r="AW138" s="65"/>
      <c r="AX138" s="65"/>
      <c r="AY138" s="65"/>
      <c r="AZ138" s="65"/>
      <c r="BA138" s="65"/>
      <c r="BB138" s="65"/>
      <c r="BC138" s="65"/>
      <c r="BD138" s="65"/>
      <c r="BE138" s="65"/>
      <c r="BF138" s="65"/>
      <c r="BG138" s="65"/>
      <c r="BH138" s="65"/>
      <c r="BI138" s="65"/>
      <c r="BJ138" s="65"/>
      <c r="BK138" s="65">
        <v>0</v>
      </c>
      <c r="BL138" s="65">
        <v>0</v>
      </c>
      <c r="BM138" s="65">
        <v>0</v>
      </c>
      <c r="BN138" s="65">
        <f t="shared" si="602"/>
        <v>0</v>
      </c>
      <c r="BO138" s="67">
        <f t="shared" si="603"/>
        <v>0</v>
      </c>
      <c r="BP138" s="65">
        <f t="shared" si="604"/>
        <v>0</v>
      </c>
      <c r="BQ138" s="65">
        <f t="shared" si="605"/>
        <v>0</v>
      </c>
      <c r="BR138" s="65">
        <f t="shared" si="606"/>
        <v>0</v>
      </c>
      <c r="BS138" s="65">
        <f t="shared" si="607"/>
        <v>0</v>
      </c>
      <c r="BT138" s="65">
        <f t="shared" si="608"/>
        <v>0</v>
      </c>
      <c r="BU138" s="65">
        <f t="shared" si="609"/>
        <v>0</v>
      </c>
      <c r="BV138" s="65">
        <f t="shared" si="610"/>
        <v>0</v>
      </c>
      <c r="BW138" s="65">
        <f t="shared" si="611"/>
        <v>0</v>
      </c>
      <c r="BX138" s="6"/>
      <c r="BY138" s="6"/>
      <c r="BZ138" s="6"/>
      <c r="CA138" s="6"/>
      <c r="CB138" s="6"/>
      <c r="CC138" s="6"/>
      <c r="CD138" s="6"/>
      <c r="CE138" s="6"/>
      <c r="CF138" s="6"/>
      <c r="CG138" s="6"/>
    </row>
    <row r="139" spans="1:85" ht="15.75">
      <c r="A139" s="75"/>
      <c r="B139" s="76"/>
      <c r="C139" s="77"/>
      <c r="D139" s="78" t="s">
        <v>264</v>
      </c>
      <c r="E139" s="45">
        <f t="shared" ref="E139:H139" si="639">SUM(E140)</f>
        <v>0</v>
      </c>
      <c r="F139" s="46">
        <f t="shared" si="639"/>
        <v>0</v>
      </c>
      <c r="G139" s="46">
        <f t="shared" si="639"/>
        <v>0</v>
      </c>
      <c r="H139" s="46">
        <f t="shared" si="639"/>
        <v>500000</v>
      </c>
      <c r="I139" s="47">
        <f t="shared" si="267"/>
        <v>0</v>
      </c>
      <c r="J139" s="47">
        <f t="shared" si="268"/>
        <v>0</v>
      </c>
      <c r="K139" s="46">
        <f t="shared" ref="K139:W139" si="640">SUM(K140)</f>
        <v>0</v>
      </c>
      <c r="L139" s="46">
        <f t="shared" si="640"/>
        <v>0</v>
      </c>
      <c r="M139" s="46">
        <f t="shared" si="640"/>
        <v>0</v>
      </c>
      <c r="N139" s="46">
        <f t="shared" si="640"/>
        <v>0</v>
      </c>
      <c r="O139" s="46">
        <f t="shared" si="640"/>
        <v>0</v>
      </c>
      <c r="P139" s="46">
        <f t="shared" si="640"/>
        <v>0</v>
      </c>
      <c r="Q139" s="46">
        <f t="shared" si="640"/>
        <v>0</v>
      </c>
      <c r="R139" s="46">
        <f t="shared" si="640"/>
        <v>0</v>
      </c>
      <c r="S139" s="46">
        <f t="shared" si="640"/>
        <v>0</v>
      </c>
      <c r="T139" s="46">
        <f t="shared" si="640"/>
        <v>0</v>
      </c>
      <c r="U139" s="46">
        <f t="shared" si="640"/>
        <v>0</v>
      </c>
      <c r="V139" s="46">
        <f t="shared" si="640"/>
        <v>0</v>
      </c>
      <c r="W139" s="46">
        <f t="shared" si="640"/>
        <v>0</v>
      </c>
      <c r="X139" s="50">
        <f t="shared" ref="X139:Y139" si="641">IF(O139&gt;0,O139/K139,0)</f>
        <v>0</v>
      </c>
      <c r="Y139" s="50">
        <f t="shared" si="641"/>
        <v>0</v>
      </c>
      <c r="Z139" s="50">
        <f t="shared" si="464"/>
        <v>0</v>
      </c>
      <c r="AA139" s="46">
        <f t="shared" ref="AA139:BW139" si="642">SUM(AA140)</f>
        <v>0</v>
      </c>
      <c r="AB139" s="46">
        <f t="shared" si="642"/>
        <v>0</v>
      </c>
      <c r="AC139" s="46">
        <f t="shared" si="642"/>
        <v>0</v>
      </c>
      <c r="AD139" s="46">
        <f t="shared" si="642"/>
        <v>0</v>
      </c>
      <c r="AE139" s="46">
        <f t="shared" si="642"/>
        <v>0</v>
      </c>
      <c r="AF139" s="46">
        <f t="shared" si="642"/>
        <v>0</v>
      </c>
      <c r="AG139" s="46">
        <f t="shared" si="642"/>
        <v>0</v>
      </c>
      <c r="AH139" s="46">
        <f t="shared" si="642"/>
        <v>0</v>
      </c>
      <c r="AI139" s="46">
        <f t="shared" si="642"/>
        <v>0</v>
      </c>
      <c r="AJ139" s="46">
        <f t="shared" si="642"/>
        <v>0</v>
      </c>
      <c r="AK139" s="46">
        <f t="shared" si="642"/>
        <v>0</v>
      </c>
      <c r="AL139" s="46">
        <f t="shared" si="642"/>
        <v>0</v>
      </c>
      <c r="AM139" s="46">
        <f t="shared" si="642"/>
        <v>0</v>
      </c>
      <c r="AN139" s="46">
        <f t="shared" si="642"/>
        <v>0</v>
      </c>
      <c r="AO139" s="46">
        <f t="shared" si="642"/>
        <v>0</v>
      </c>
      <c r="AP139" s="46">
        <f t="shared" si="642"/>
        <v>0</v>
      </c>
      <c r="AQ139" s="46">
        <f t="shared" si="642"/>
        <v>0</v>
      </c>
      <c r="AR139" s="46">
        <f t="shared" si="642"/>
        <v>0</v>
      </c>
      <c r="AS139" s="46">
        <f t="shared" si="642"/>
        <v>0</v>
      </c>
      <c r="AT139" s="46">
        <f t="shared" si="642"/>
        <v>0</v>
      </c>
      <c r="AU139" s="46">
        <f t="shared" si="642"/>
        <v>0</v>
      </c>
      <c r="AV139" s="46">
        <f t="shared" si="642"/>
        <v>0</v>
      </c>
      <c r="AW139" s="46">
        <f t="shared" si="642"/>
        <v>0</v>
      </c>
      <c r="AX139" s="46">
        <f t="shared" si="642"/>
        <v>0</v>
      </c>
      <c r="AY139" s="46">
        <f t="shared" si="642"/>
        <v>0</v>
      </c>
      <c r="AZ139" s="46">
        <f t="shared" si="642"/>
        <v>0</v>
      </c>
      <c r="BA139" s="46">
        <f t="shared" si="642"/>
        <v>0</v>
      </c>
      <c r="BB139" s="46">
        <f t="shared" si="642"/>
        <v>0</v>
      </c>
      <c r="BC139" s="46">
        <f t="shared" si="642"/>
        <v>0</v>
      </c>
      <c r="BD139" s="46">
        <f t="shared" si="642"/>
        <v>0</v>
      </c>
      <c r="BE139" s="46">
        <f t="shared" si="642"/>
        <v>0</v>
      </c>
      <c r="BF139" s="46">
        <f t="shared" si="642"/>
        <v>0</v>
      </c>
      <c r="BG139" s="46">
        <f t="shared" si="642"/>
        <v>0</v>
      </c>
      <c r="BH139" s="46">
        <f t="shared" si="642"/>
        <v>0</v>
      </c>
      <c r="BI139" s="46">
        <f t="shared" si="642"/>
        <v>0</v>
      </c>
      <c r="BJ139" s="46">
        <f t="shared" si="642"/>
        <v>0</v>
      </c>
      <c r="BK139" s="46">
        <f t="shared" si="642"/>
        <v>0</v>
      </c>
      <c r="BL139" s="46">
        <f t="shared" si="642"/>
        <v>0</v>
      </c>
      <c r="BM139" s="46">
        <f t="shared" si="642"/>
        <v>0</v>
      </c>
      <c r="BN139" s="46">
        <f t="shared" si="642"/>
        <v>0</v>
      </c>
      <c r="BO139" s="46">
        <f t="shared" si="642"/>
        <v>0</v>
      </c>
      <c r="BP139" s="46">
        <f t="shared" si="642"/>
        <v>0</v>
      </c>
      <c r="BQ139" s="46">
        <f t="shared" si="642"/>
        <v>0</v>
      </c>
      <c r="BR139" s="46">
        <f t="shared" si="642"/>
        <v>0</v>
      </c>
      <c r="BS139" s="46">
        <f t="shared" si="642"/>
        <v>0</v>
      </c>
      <c r="BT139" s="46">
        <f t="shared" si="642"/>
        <v>0</v>
      </c>
      <c r="BU139" s="46">
        <f t="shared" si="642"/>
        <v>0</v>
      </c>
      <c r="BV139" s="46">
        <f t="shared" si="642"/>
        <v>0</v>
      </c>
      <c r="BW139" s="46">
        <f t="shared" si="642"/>
        <v>0</v>
      </c>
      <c r="BX139" s="51"/>
      <c r="BY139" s="51"/>
      <c r="BZ139" s="51"/>
      <c r="CA139" s="51"/>
      <c r="CB139" s="51"/>
      <c r="CC139" s="51"/>
      <c r="CD139" s="51"/>
      <c r="CE139" s="51"/>
      <c r="CF139" s="51"/>
      <c r="CG139" s="51"/>
    </row>
    <row r="140" spans="1:85" ht="15.75" customHeight="1">
      <c r="A140" s="68"/>
      <c r="B140" s="103"/>
      <c r="C140" s="68" t="s">
        <v>292</v>
      </c>
      <c r="D140" s="105" t="s">
        <v>293</v>
      </c>
      <c r="E140" s="57">
        <v>0</v>
      </c>
      <c r="F140" s="57">
        <v>0</v>
      </c>
      <c r="G140" s="58">
        <f>E140-F140</f>
        <v>0</v>
      </c>
      <c r="H140" s="56">
        <v>500000</v>
      </c>
      <c r="I140" s="59">
        <f t="shared" si="267"/>
        <v>0</v>
      </c>
      <c r="J140" s="59">
        <f t="shared" si="268"/>
        <v>0</v>
      </c>
      <c r="K140" s="74">
        <v>0</v>
      </c>
      <c r="L140" s="74">
        <v>0</v>
      </c>
      <c r="M140" s="74">
        <v>0</v>
      </c>
      <c r="N140" s="74">
        <v>0</v>
      </c>
      <c r="O140" s="61">
        <f t="shared" ref="O140:Q140" si="643">AA140+AD140+AG140+AJ140+AM140+AP140+AS140+AV140+AY140+BB140+BE140+BH140</f>
        <v>0</v>
      </c>
      <c r="P140" s="61">
        <f t="shared" si="643"/>
        <v>0</v>
      </c>
      <c r="Q140" s="61">
        <f t="shared" si="643"/>
        <v>0</v>
      </c>
      <c r="R140" s="61">
        <f t="shared" ref="R140:T140" si="644">IF(BK140=0,SUM(AA140+AD140+AG140+AJ140+AM140+AP140+AS140+AV140+AY140+BB140+BE140+BH140),BK140)</f>
        <v>0</v>
      </c>
      <c r="S140" s="61">
        <f t="shared" si="644"/>
        <v>0</v>
      </c>
      <c r="T140" s="61">
        <f t="shared" si="644"/>
        <v>0</v>
      </c>
      <c r="U140" s="63">
        <f>K140-O140</f>
        <v>0</v>
      </c>
      <c r="V140" s="63">
        <f>L140-M140-S140</f>
        <v>0</v>
      </c>
      <c r="W140" s="63">
        <f>N140-Q140</f>
        <v>0</v>
      </c>
      <c r="X140" s="64">
        <f t="shared" ref="X140:Y140" si="645">IF(O140&gt;0,O140/K140,0)</f>
        <v>0</v>
      </c>
      <c r="Y140" s="64">
        <f t="shared" si="645"/>
        <v>0</v>
      </c>
      <c r="Z140" s="64">
        <f t="shared" si="464"/>
        <v>0</v>
      </c>
      <c r="AA140" s="65"/>
      <c r="AB140" s="65"/>
      <c r="AC140" s="65"/>
      <c r="AD140" s="65"/>
      <c r="AE140" s="66"/>
      <c r="AF140" s="66"/>
      <c r="AG140" s="66"/>
      <c r="AH140" s="66"/>
      <c r="AI140" s="65"/>
      <c r="AJ140" s="65"/>
      <c r="AK140" s="65"/>
      <c r="AL140" s="65"/>
      <c r="AM140" s="65"/>
      <c r="AN140" s="65"/>
      <c r="AO140" s="65"/>
      <c r="AP140" s="65"/>
      <c r="AQ140" s="65"/>
      <c r="AR140" s="65"/>
      <c r="AS140" s="65"/>
      <c r="AT140" s="65"/>
      <c r="AU140" s="65"/>
      <c r="AV140" s="65"/>
      <c r="AW140" s="65"/>
      <c r="AX140" s="65"/>
      <c r="AY140" s="65"/>
      <c r="AZ140" s="65"/>
      <c r="BA140" s="65"/>
      <c r="BB140" s="65"/>
      <c r="BC140" s="65"/>
      <c r="BD140" s="65"/>
      <c r="BE140" s="65"/>
      <c r="BF140" s="65"/>
      <c r="BG140" s="65"/>
      <c r="BH140" s="65"/>
      <c r="BI140" s="65"/>
      <c r="BJ140" s="65"/>
      <c r="BK140" s="65">
        <v>0</v>
      </c>
      <c r="BL140" s="65">
        <v>0</v>
      </c>
      <c r="BM140" s="65">
        <v>0</v>
      </c>
      <c r="BN140" s="65">
        <f>IF(O140-BK140&gt;0,O140-BK140,0)</f>
        <v>0</v>
      </c>
      <c r="BO140" s="67">
        <f>IF(Q140-BM140&gt;0,Q140-BM140,0)</f>
        <v>0</v>
      </c>
      <c r="BP140" s="65">
        <f>IF(BN140+BO140&gt;0,BN140+BO140,0)</f>
        <v>0</v>
      </c>
      <c r="BQ140" s="65">
        <f>IF(U140=0,0,U140)</f>
        <v>0</v>
      </c>
      <c r="BR140" s="65">
        <f>IF(W140=0,0,W140)</f>
        <v>0</v>
      </c>
      <c r="BS140" s="65">
        <f>IF(BQ140+BR140&gt;0,BQ140+BR140,0)</f>
        <v>0</v>
      </c>
      <c r="BT140" s="65">
        <f>IF(V140&gt;0,V140,0)</f>
        <v>0</v>
      </c>
      <c r="BU140" s="65">
        <f>IF(BP140=0,0,BP140)</f>
        <v>0</v>
      </c>
      <c r="BV140" s="65">
        <f>IF(BS140=0,0,BS140)</f>
        <v>0</v>
      </c>
      <c r="BW140" s="65">
        <f>IF(BP140+BT140+BV140&gt;0,BP140+BT140+BV140,0)</f>
        <v>0</v>
      </c>
      <c r="BX140" s="6"/>
      <c r="BY140" s="6"/>
      <c r="BZ140" s="6"/>
      <c r="CA140" s="6"/>
      <c r="CB140" s="6"/>
      <c r="CC140" s="6"/>
      <c r="CD140" s="6"/>
      <c r="CE140" s="6"/>
      <c r="CF140" s="6"/>
      <c r="CG140" s="6"/>
    </row>
    <row r="141" spans="1:85" ht="15.75">
      <c r="A141" s="75"/>
      <c r="B141" s="76"/>
      <c r="C141" s="77"/>
      <c r="D141" s="78" t="s">
        <v>294</v>
      </c>
      <c r="E141" s="45">
        <f t="shared" ref="E141:H141" si="646">SUM(E142+E144+E146+E149+E151+E154)</f>
        <v>0</v>
      </c>
      <c r="F141" s="45">
        <f t="shared" si="646"/>
        <v>0</v>
      </c>
      <c r="G141" s="45">
        <f t="shared" si="646"/>
        <v>0</v>
      </c>
      <c r="H141" s="45">
        <f t="shared" si="646"/>
        <v>0</v>
      </c>
      <c r="I141" s="47">
        <f t="shared" si="267"/>
        <v>0</v>
      </c>
      <c r="J141" s="47">
        <f t="shared" si="268"/>
        <v>0</v>
      </c>
      <c r="K141" s="45">
        <f t="shared" ref="K141:W141" si="647">SUM(K142+K144+K146+K149+K151+K154)</f>
        <v>0</v>
      </c>
      <c r="L141" s="45">
        <f t="shared" si="647"/>
        <v>134305.46000000002</v>
      </c>
      <c r="M141" s="45">
        <f t="shared" si="647"/>
        <v>0</v>
      </c>
      <c r="N141" s="45">
        <f t="shared" si="647"/>
        <v>1349</v>
      </c>
      <c r="O141" s="45">
        <f t="shared" si="647"/>
        <v>0</v>
      </c>
      <c r="P141" s="45">
        <f t="shared" si="647"/>
        <v>42804.270000000004</v>
      </c>
      <c r="Q141" s="45">
        <f t="shared" si="647"/>
        <v>0</v>
      </c>
      <c r="R141" s="45">
        <f t="shared" si="647"/>
        <v>0</v>
      </c>
      <c r="S141" s="45">
        <f t="shared" si="647"/>
        <v>42804.270000000004</v>
      </c>
      <c r="T141" s="45">
        <f t="shared" si="647"/>
        <v>0</v>
      </c>
      <c r="U141" s="45">
        <f t="shared" si="647"/>
        <v>0</v>
      </c>
      <c r="V141" s="45">
        <f t="shared" si="647"/>
        <v>91501.19</v>
      </c>
      <c r="W141" s="45">
        <f t="shared" si="647"/>
        <v>1349</v>
      </c>
      <c r="X141" s="50">
        <f t="shared" ref="X141:Y141" si="648">IF(O141&gt;0,O141/K141,0)</f>
        <v>0</v>
      </c>
      <c r="Y141" s="50">
        <f t="shared" si="648"/>
        <v>0.31870833843985197</v>
      </c>
      <c r="Z141" s="50">
        <f t="shared" si="464"/>
        <v>0</v>
      </c>
      <c r="AA141" s="45">
        <f t="shared" ref="AA141:BW141" si="649">SUM(AA142+AA144+AA146+AA149+AA151+AA154)</f>
        <v>0</v>
      </c>
      <c r="AB141" s="45">
        <f t="shared" si="649"/>
        <v>25705.09</v>
      </c>
      <c r="AC141" s="45">
        <f t="shared" si="649"/>
        <v>0</v>
      </c>
      <c r="AD141" s="45">
        <f t="shared" si="649"/>
        <v>0</v>
      </c>
      <c r="AE141" s="45">
        <f t="shared" si="649"/>
        <v>8460.51</v>
      </c>
      <c r="AF141" s="45">
        <f t="shared" si="649"/>
        <v>0</v>
      </c>
      <c r="AG141" s="45">
        <f t="shared" si="649"/>
        <v>0</v>
      </c>
      <c r="AH141" s="45">
        <f t="shared" si="649"/>
        <v>0</v>
      </c>
      <c r="AI141" s="45">
        <f t="shared" si="649"/>
        <v>0</v>
      </c>
      <c r="AJ141" s="45">
        <f t="shared" si="649"/>
        <v>0</v>
      </c>
      <c r="AK141" s="45">
        <f t="shared" si="649"/>
        <v>0</v>
      </c>
      <c r="AL141" s="45">
        <f t="shared" si="649"/>
        <v>0</v>
      </c>
      <c r="AM141" s="45">
        <f t="shared" si="649"/>
        <v>0</v>
      </c>
      <c r="AN141" s="45">
        <f t="shared" si="649"/>
        <v>8638.67</v>
      </c>
      <c r="AO141" s="45">
        <f t="shared" si="649"/>
        <v>0</v>
      </c>
      <c r="AP141" s="45">
        <f t="shared" si="649"/>
        <v>0</v>
      </c>
      <c r="AQ141" s="45">
        <f t="shared" si="649"/>
        <v>0</v>
      </c>
      <c r="AR141" s="45">
        <f t="shared" si="649"/>
        <v>0</v>
      </c>
      <c r="AS141" s="45">
        <f t="shared" si="649"/>
        <v>0</v>
      </c>
      <c r="AT141" s="45">
        <f t="shared" si="649"/>
        <v>0</v>
      </c>
      <c r="AU141" s="45">
        <f t="shared" si="649"/>
        <v>0</v>
      </c>
      <c r="AV141" s="45">
        <f t="shared" si="649"/>
        <v>0</v>
      </c>
      <c r="AW141" s="45">
        <f t="shared" si="649"/>
        <v>0</v>
      </c>
      <c r="AX141" s="45">
        <f t="shared" si="649"/>
        <v>0</v>
      </c>
      <c r="AY141" s="45">
        <f t="shared" si="649"/>
        <v>0</v>
      </c>
      <c r="AZ141" s="45">
        <f t="shared" si="649"/>
        <v>0</v>
      </c>
      <c r="BA141" s="45">
        <f t="shared" si="649"/>
        <v>0</v>
      </c>
      <c r="BB141" s="45">
        <f t="shared" si="649"/>
        <v>0</v>
      </c>
      <c r="BC141" s="45">
        <f t="shared" si="649"/>
        <v>0</v>
      </c>
      <c r="BD141" s="45">
        <f t="shared" si="649"/>
        <v>0</v>
      </c>
      <c r="BE141" s="45">
        <f t="shared" si="649"/>
        <v>0</v>
      </c>
      <c r="BF141" s="45">
        <f t="shared" si="649"/>
        <v>0</v>
      </c>
      <c r="BG141" s="45">
        <f t="shared" si="649"/>
        <v>0</v>
      </c>
      <c r="BH141" s="45">
        <f t="shared" si="649"/>
        <v>0</v>
      </c>
      <c r="BI141" s="45">
        <f t="shared" si="649"/>
        <v>0</v>
      </c>
      <c r="BJ141" s="45">
        <f t="shared" si="649"/>
        <v>0</v>
      </c>
      <c r="BK141" s="45">
        <f t="shared" si="649"/>
        <v>0</v>
      </c>
      <c r="BL141" s="45">
        <f t="shared" si="649"/>
        <v>0</v>
      </c>
      <c r="BM141" s="45">
        <f t="shared" si="649"/>
        <v>0</v>
      </c>
      <c r="BN141" s="45">
        <f t="shared" si="649"/>
        <v>0</v>
      </c>
      <c r="BO141" s="45">
        <f t="shared" si="649"/>
        <v>0</v>
      </c>
      <c r="BP141" s="45">
        <f t="shared" si="649"/>
        <v>0</v>
      </c>
      <c r="BQ141" s="45">
        <f t="shared" si="649"/>
        <v>0</v>
      </c>
      <c r="BR141" s="45">
        <f t="shared" si="649"/>
        <v>1349</v>
      </c>
      <c r="BS141" s="45">
        <f t="shared" si="649"/>
        <v>1349</v>
      </c>
      <c r="BT141" s="45">
        <f t="shared" si="649"/>
        <v>91501.19</v>
      </c>
      <c r="BU141" s="45">
        <f t="shared" si="649"/>
        <v>0</v>
      </c>
      <c r="BV141" s="45">
        <f t="shared" si="649"/>
        <v>1349</v>
      </c>
      <c r="BW141" s="45">
        <f t="shared" si="649"/>
        <v>92850.19</v>
      </c>
      <c r="BX141" s="51"/>
      <c r="BY141" s="51"/>
      <c r="BZ141" s="51"/>
      <c r="CA141" s="51"/>
      <c r="CB141" s="51"/>
      <c r="CC141" s="51"/>
      <c r="CD141" s="51"/>
      <c r="CE141" s="51"/>
      <c r="CF141" s="51"/>
      <c r="CG141" s="51"/>
    </row>
    <row r="142" spans="1:85" ht="15.75">
      <c r="A142" s="209"/>
      <c r="B142" s="210"/>
      <c r="C142" s="211"/>
      <c r="D142" s="212" t="s">
        <v>67</v>
      </c>
      <c r="E142" s="213">
        <f t="shared" ref="E142:H142" si="650">SUM(E143)</f>
        <v>0</v>
      </c>
      <c r="F142" s="214">
        <f t="shared" si="650"/>
        <v>0</v>
      </c>
      <c r="G142" s="214">
        <f t="shared" si="650"/>
        <v>0</v>
      </c>
      <c r="H142" s="214">
        <f t="shared" si="650"/>
        <v>0</v>
      </c>
      <c r="I142" s="215">
        <f t="shared" si="267"/>
        <v>0</v>
      </c>
      <c r="J142" s="215">
        <f t="shared" si="268"/>
        <v>0</v>
      </c>
      <c r="K142" s="214">
        <f t="shared" ref="K142:W142" si="651">SUM(K143)</f>
        <v>0</v>
      </c>
      <c r="L142" s="214">
        <f t="shared" si="651"/>
        <v>0</v>
      </c>
      <c r="M142" s="214">
        <f t="shared" si="651"/>
        <v>0</v>
      </c>
      <c r="N142" s="214">
        <f t="shared" si="651"/>
        <v>0</v>
      </c>
      <c r="O142" s="214">
        <f t="shared" si="651"/>
        <v>0</v>
      </c>
      <c r="P142" s="214">
        <f t="shared" si="651"/>
        <v>0</v>
      </c>
      <c r="Q142" s="214">
        <f t="shared" si="651"/>
        <v>0</v>
      </c>
      <c r="R142" s="214">
        <f t="shared" si="651"/>
        <v>0</v>
      </c>
      <c r="S142" s="214">
        <f t="shared" si="651"/>
        <v>0</v>
      </c>
      <c r="T142" s="214">
        <f t="shared" si="651"/>
        <v>0</v>
      </c>
      <c r="U142" s="214">
        <f t="shared" si="651"/>
        <v>0</v>
      </c>
      <c r="V142" s="214">
        <f t="shared" si="651"/>
        <v>0</v>
      </c>
      <c r="W142" s="214">
        <f t="shared" si="651"/>
        <v>0</v>
      </c>
      <c r="X142" s="216">
        <f t="shared" ref="X142:Y142" si="652">IF(O142&gt;0,O142/K142,0)</f>
        <v>0</v>
      </c>
      <c r="Y142" s="216">
        <f t="shared" si="652"/>
        <v>0</v>
      </c>
      <c r="Z142" s="216">
        <f t="shared" si="464"/>
        <v>0</v>
      </c>
      <c r="AA142" s="214">
        <f t="shared" ref="AA142:BW142" si="653">SUM(AA143)</f>
        <v>0</v>
      </c>
      <c r="AB142" s="214">
        <f t="shared" si="653"/>
        <v>0</v>
      </c>
      <c r="AC142" s="214">
        <f t="shared" si="653"/>
        <v>0</v>
      </c>
      <c r="AD142" s="214">
        <f t="shared" si="653"/>
        <v>0</v>
      </c>
      <c r="AE142" s="214">
        <f t="shared" si="653"/>
        <v>0</v>
      </c>
      <c r="AF142" s="214">
        <f t="shared" si="653"/>
        <v>0</v>
      </c>
      <c r="AG142" s="214">
        <f t="shared" si="653"/>
        <v>0</v>
      </c>
      <c r="AH142" s="214">
        <f t="shared" si="653"/>
        <v>0</v>
      </c>
      <c r="AI142" s="214">
        <f t="shared" si="653"/>
        <v>0</v>
      </c>
      <c r="AJ142" s="214">
        <f t="shared" si="653"/>
        <v>0</v>
      </c>
      <c r="AK142" s="214">
        <f t="shared" si="653"/>
        <v>0</v>
      </c>
      <c r="AL142" s="214">
        <f t="shared" si="653"/>
        <v>0</v>
      </c>
      <c r="AM142" s="214">
        <f t="shared" si="653"/>
        <v>0</v>
      </c>
      <c r="AN142" s="214">
        <f t="shared" si="653"/>
        <v>0</v>
      </c>
      <c r="AO142" s="214">
        <f t="shared" si="653"/>
        <v>0</v>
      </c>
      <c r="AP142" s="214">
        <f t="shared" si="653"/>
        <v>0</v>
      </c>
      <c r="AQ142" s="214">
        <f t="shared" si="653"/>
        <v>0</v>
      </c>
      <c r="AR142" s="214">
        <f t="shared" si="653"/>
        <v>0</v>
      </c>
      <c r="AS142" s="214">
        <f t="shared" si="653"/>
        <v>0</v>
      </c>
      <c r="AT142" s="214">
        <f t="shared" si="653"/>
        <v>0</v>
      </c>
      <c r="AU142" s="214">
        <f t="shared" si="653"/>
        <v>0</v>
      </c>
      <c r="AV142" s="214">
        <f t="shared" si="653"/>
        <v>0</v>
      </c>
      <c r="AW142" s="214">
        <f t="shared" si="653"/>
        <v>0</v>
      </c>
      <c r="AX142" s="214">
        <f t="shared" si="653"/>
        <v>0</v>
      </c>
      <c r="AY142" s="214">
        <f t="shared" si="653"/>
        <v>0</v>
      </c>
      <c r="AZ142" s="214">
        <f t="shared" si="653"/>
        <v>0</v>
      </c>
      <c r="BA142" s="214">
        <f t="shared" si="653"/>
        <v>0</v>
      </c>
      <c r="BB142" s="214">
        <f t="shared" si="653"/>
        <v>0</v>
      </c>
      <c r="BC142" s="214">
        <f t="shared" si="653"/>
        <v>0</v>
      </c>
      <c r="BD142" s="214">
        <f t="shared" si="653"/>
        <v>0</v>
      </c>
      <c r="BE142" s="214">
        <f t="shared" si="653"/>
        <v>0</v>
      </c>
      <c r="BF142" s="214">
        <f t="shared" si="653"/>
        <v>0</v>
      </c>
      <c r="BG142" s="214">
        <f t="shared" si="653"/>
        <v>0</v>
      </c>
      <c r="BH142" s="214">
        <f t="shared" si="653"/>
        <v>0</v>
      </c>
      <c r="BI142" s="214">
        <f t="shared" si="653"/>
        <v>0</v>
      </c>
      <c r="BJ142" s="214">
        <f t="shared" si="653"/>
        <v>0</v>
      </c>
      <c r="BK142" s="214">
        <f t="shared" si="653"/>
        <v>0</v>
      </c>
      <c r="BL142" s="214">
        <f t="shared" si="653"/>
        <v>0</v>
      </c>
      <c r="BM142" s="214">
        <f t="shared" si="653"/>
        <v>0</v>
      </c>
      <c r="BN142" s="214">
        <f t="shared" si="653"/>
        <v>0</v>
      </c>
      <c r="BO142" s="214">
        <f t="shared" si="653"/>
        <v>0</v>
      </c>
      <c r="BP142" s="214">
        <f t="shared" si="653"/>
        <v>0</v>
      </c>
      <c r="BQ142" s="214">
        <f t="shared" si="653"/>
        <v>0</v>
      </c>
      <c r="BR142" s="214">
        <f t="shared" si="653"/>
        <v>0</v>
      </c>
      <c r="BS142" s="214">
        <f t="shared" si="653"/>
        <v>0</v>
      </c>
      <c r="BT142" s="214">
        <f t="shared" si="653"/>
        <v>0</v>
      </c>
      <c r="BU142" s="214">
        <f t="shared" si="653"/>
        <v>0</v>
      </c>
      <c r="BV142" s="214">
        <f t="shared" si="653"/>
        <v>0</v>
      </c>
      <c r="BW142" s="214">
        <f t="shared" si="653"/>
        <v>0</v>
      </c>
      <c r="BX142" s="51"/>
      <c r="BY142" s="51"/>
      <c r="BZ142" s="51"/>
      <c r="CA142" s="51"/>
      <c r="CB142" s="51"/>
      <c r="CC142" s="51"/>
      <c r="CD142" s="51"/>
      <c r="CE142" s="51"/>
      <c r="CF142" s="51"/>
      <c r="CG142" s="51"/>
    </row>
    <row r="143" spans="1:85" ht="15.75" customHeight="1">
      <c r="A143" s="68"/>
      <c r="B143" s="103"/>
      <c r="C143" s="68" t="s">
        <v>69</v>
      </c>
      <c r="D143" s="70" t="s">
        <v>295</v>
      </c>
      <c r="E143" s="57">
        <v>0</v>
      </c>
      <c r="F143" s="57">
        <v>0</v>
      </c>
      <c r="G143" s="58">
        <f>E143-F143</f>
        <v>0</v>
      </c>
      <c r="H143" s="57">
        <v>0</v>
      </c>
      <c r="I143" s="59">
        <f t="shared" si="267"/>
        <v>0</v>
      </c>
      <c r="J143" s="59">
        <f t="shared" si="268"/>
        <v>0</v>
      </c>
      <c r="K143" s="74">
        <v>0</v>
      </c>
      <c r="L143" s="74">
        <v>0</v>
      </c>
      <c r="M143" s="74">
        <v>0</v>
      </c>
      <c r="N143" s="74">
        <v>0</v>
      </c>
      <c r="O143" s="61">
        <f t="shared" ref="O143:Q143" si="654">AA143+AD143+AG143+AJ143+AM143+AP143+AS143+AV143+AY143+BB143+BE143+BH143</f>
        <v>0</v>
      </c>
      <c r="P143" s="61">
        <f t="shared" si="654"/>
        <v>0</v>
      </c>
      <c r="Q143" s="61">
        <f t="shared" si="654"/>
        <v>0</v>
      </c>
      <c r="R143" s="61">
        <f t="shared" ref="R143:T143" si="655">IF(BK143=0,SUM(AA143+AD143+AG143+AJ143+AM143+AP143+AS143+AV143+AY143+BB143+BE143+BH143),BK143)</f>
        <v>0</v>
      </c>
      <c r="S143" s="61">
        <f t="shared" si="655"/>
        <v>0</v>
      </c>
      <c r="T143" s="61">
        <f t="shared" si="655"/>
        <v>0</v>
      </c>
      <c r="U143" s="208">
        <f>K143-O143</f>
        <v>0</v>
      </c>
      <c r="V143" s="63">
        <f>L143-M143-S143</f>
        <v>0</v>
      </c>
      <c r="W143" s="63">
        <f>N143-Q143</f>
        <v>0</v>
      </c>
      <c r="X143" s="64">
        <f t="shared" ref="X143:Y143" si="656">IF(O143&gt;0,O143/K143,0)</f>
        <v>0</v>
      </c>
      <c r="Y143" s="64">
        <f t="shared" si="656"/>
        <v>0</v>
      </c>
      <c r="Z143" s="64">
        <f t="shared" si="464"/>
        <v>0</v>
      </c>
      <c r="AA143" s="65"/>
      <c r="AB143" s="65"/>
      <c r="AC143" s="65"/>
      <c r="AD143" s="65"/>
      <c r="AE143" s="66"/>
      <c r="AF143" s="66"/>
      <c r="AG143" s="66"/>
      <c r="AH143" s="66"/>
      <c r="AI143" s="65"/>
      <c r="AJ143" s="65"/>
      <c r="AK143" s="65"/>
      <c r="AL143" s="65"/>
      <c r="AM143" s="65"/>
      <c r="AN143" s="65"/>
      <c r="AO143" s="65"/>
      <c r="AP143" s="65"/>
      <c r="AQ143" s="65"/>
      <c r="AR143" s="65"/>
      <c r="AS143" s="65"/>
      <c r="AT143" s="65"/>
      <c r="AU143" s="65"/>
      <c r="AV143" s="65"/>
      <c r="AW143" s="65"/>
      <c r="AX143" s="65"/>
      <c r="AY143" s="65"/>
      <c r="AZ143" s="65"/>
      <c r="BA143" s="65"/>
      <c r="BB143" s="65"/>
      <c r="BC143" s="65"/>
      <c r="BD143" s="65"/>
      <c r="BE143" s="65"/>
      <c r="BF143" s="65"/>
      <c r="BG143" s="65"/>
      <c r="BH143" s="65"/>
      <c r="BI143" s="65"/>
      <c r="BJ143" s="65"/>
      <c r="BK143" s="65">
        <v>0</v>
      </c>
      <c r="BL143" s="65">
        <v>0</v>
      </c>
      <c r="BM143" s="65">
        <v>0</v>
      </c>
      <c r="BN143" s="65">
        <f>IF(O143-BK143&gt;0,O143-BK143,0)</f>
        <v>0</v>
      </c>
      <c r="BO143" s="67">
        <f>IF(Q143-BM143&gt;0,Q143-BM143,0)</f>
        <v>0</v>
      </c>
      <c r="BP143" s="65">
        <f>IF(BN143+BO143&gt;0,BN143+BO143,0)</f>
        <v>0</v>
      </c>
      <c r="BQ143" s="65">
        <f>IF(U143=0,0,U143)</f>
        <v>0</v>
      </c>
      <c r="BR143" s="65">
        <f>IF(W143=0,0,W143)</f>
        <v>0</v>
      </c>
      <c r="BS143" s="65">
        <f>IF(BQ143+BR143&gt;0,BQ143+BR143,0)</f>
        <v>0</v>
      </c>
      <c r="BT143" s="65">
        <f>IF(V143&gt;0,V143,0)</f>
        <v>0</v>
      </c>
      <c r="BU143" s="65">
        <f>IF(BP143=0,0,BP143)</f>
        <v>0</v>
      </c>
      <c r="BV143" s="65">
        <f>IF(BS143=0,0,BS143)</f>
        <v>0</v>
      </c>
      <c r="BW143" s="65">
        <f>IF(BP143+BT143+BV143&gt;0,BP143+BT143+BV143,0)</f>
        <v>0</v>
      </c>
      <c r="BX143" s="6"/>
      <c r="BY143" s="6"/>
      <c r="BZ143" s="6"/>
      <c r="CA143" s="6"/>
      <c r="CB143" s="6"/>
      <c r="CC143" s="6"/>
      <c r="CD143" s="6"/>
      <c r="CE143" s="6"/>
      <c r="CF143" s="6"/>
      <c r="CG143" s="6"/>
    </row>
    <row r="144" spans="1:85" ht="15.75">
      <c r="A144" s="217"/>
      <c r="B144" s="218"/>
      <c r="C144" s="219"/>
      <c r="D144" s="220" t="s">
        <v>83</v>
      </c>
      <c r="E144" s="213">
        <f t="shared" ref="E144:H144" si="657">SUM(E145)</f>
        <v>0</v>
      </c>
      <c r="F144" s="213">
        <f t="shared" si="657"/>
        <v>0</v>
      </c>
      <c r="G144" s="213">
        <f t="shared" si="657"/>
        <v>0</v>
      </c>
      <c r="H144" s="213">
        <f t="shared" si="657"/>
        <v>0</v>
      </c>
      <c r="I144" s="215">
        <f t="shared" si="267"/>
        <v>0</v>
      </c>
      <c r="J144" s="215">
        <f t="shared" si="268"/>
        <v>0</v>
      </c>
      <c r="K144" s="213">
        <f t="shared" ref="K144:W144" si="658">SUM(K145)</f>
        <v>0</v>
      </c>
      <c r="L144" s="213">
        <f t="shared" si="658"/>
        <v>7477.31</v>
      </c>
      <c r="M144" s="213">
        <f t="shared" si="658"/>
        <v>0</v>
      </c>
      <c r="N144" s="213">
        <f t="shared" si="658"/>
        <v>0</v>
      </c>
      <c r="O144" s="213">
        <f t="shared" si="658"/>
        <v>0</v>
      </c>
      <c r="P144" s="213">
        <f t="shared" si="658"/>
        <v>7477.31</v>
      </c>
      <c r="Q144" s="213">
        <f t="shared" si="658"/>
        <v>0</v>
      </c>
      <c r="R144" s="213">
        <f t="shared" si="658"/>
        <v>0</v>
      </c>
      <c r="S144" s="213">
        <f t="shared" si="658"/>
        <v>7477.31</v>
      </c>
      <c r="T144" s="213">
        <f t="shared" si="658"/>
        <v>0</v>
      </c>
      <c r="U144" s="213">
        <f t="shared" si="658"/>
        <v>0</v>
      </c>
      <c r="V144" s="213">
        <f t="shared" si="658"/>
        <v>0</v>
      </c>
      <c r="W144" s="213">
        <f t="shared" si="658"/>
        <v>0</v>
      </c>
      <c r="X144" s="216">
        <f t="shared" ref="X144:Y144" si="659">IF(O144&gt;0,O144/K144,0)</f>
        <v>0</v>
      </c>
      <c r="Y144" s="216">
        <f t="shared" si="659"/>
        <v>1</v>
      </c>
      <c r="Z144" s="216">
        <f t="shared" si="464"/>
        <v>0</v>
      </c>
      <c r="AA144" s="213">
        <f t="shared" ref="AA144:BW144" si="660">SUM(AA145)</f>
        <v>0</v>
      </c>
      <c r="AB144" s="213">
        <f t="shared" si="660"/>
        <v>5895.59</v>
      </c>
      <c r="AC144" s="213">
        <f t="shared" si="660"/>
        <v>0</v>
      </c>
      <c r="AD144" s="213">
        <f t="shared" si="660"/>
        <v>0</v>
      </c>
      <c r="AE144" s="213">
        <f t="shared" si="660"/>
        <v>1581.72</v>
      </c>
      <c r="AF144" s="213">
        <f t="shared" si="660"/>
        <v>0</v>
      </c>
      <c r="AG144" s="213">
        <f t="shared" si="660"/>
        <v>0</v>
      </c>
      <c r="AH144" s="213">
        <f t="shared" si="660"/>
        <v>0</v>
      </c>
      <c r="AI144" s="213">
        <f t="shared" si="660"/>
        <v>0</v>
      </c>
      <c r="AJ144" s="213">
        <f t="shared" si="660"/>
        <v>0</v>
      </c>
      <c r="AK144" s="213">
        <f t="shared" si="660"/>
        <v>0</v>
      </c>
      <c r="AL144" s="213">
        <f t="shared" si="660"/>
        <v>0</v>
      </c>
      <c r="AM144" s="213">
        <f t="shared" si="660"/>
        <v>0</v>
      </c>
      <c r="AN144" s="213">
        <f t="shared" si="660"/>
        <v>0</v>
      </c>
      <c r="AO144" s="213">
        <f t="shared" si="660"/>
        <v>0</v>
      </c>
      <c r="AP144" s="213">
        <f t="shared" si="660"/>
        <v>0</v>
      </c>
      <c r="AQ144" s="213">
        <f t="shared" si="660"/>
        <v>0</v>
      </c>
      <c r="AR144" s="213">
        <f t="shared" si="660"/>
        <v>0</v>
      </c>
      <c r="AS144" s="213">
        <f t="shared" si="660"/>
        <v>0</v>
      </c>
      <c r="AT144" s="213">
        <f t="shared" si="660"/>
        <v>0</v>
      </c>
      <c r="AU144" s="213">
        <f t="shared" si="660"/>
        <v>0</v>
      </c>
      <c r="AV144" s="213">
        <f t="shared" si="660"/>
        <v>0</v>
      </c>
      <c r="AW144" s="213">
        <f t="shared" si="660"/>
        <v>0</v>
      </c>
      <c r="AX144" s="213">
        <f t="shared" si="660"/>
        <v>0</v>
      </c>
      <c r="AY144" s="213">
        <f t="shared" si="660"/>
        <v>0</v>
      </c>
      <c r="AZ144" s="213">
        <f t="shared" si="660"/>
        <v>0</v>
      </c>
      <c r="BA144" s="213">
        <f t="shared" si="660"/>
        <v>0</v>
      </c>
      <c r="BB144" s="213">
        <f t="shared" si="660"/>
        <v>0</v>
      </c>
      <c r="BC144" s="213">
        <f t="shared" si="660"/>
        <v>0</v>
      </c>
      <c r="BD144" s="213">
        <f t="shared" si="660"/>
        <v>0</v>
      </c>
      <c r="BE144" s="213">
        <f t="shared" si="660"/>
        <v>0</v>
      </c>
      <c r="BF144" s="213">
        <f t="shared" si="660"/>
        <v>0</v>
      </c>
      <c r="BG144" s="213">
        <f t="shared" si="660"/>
        <v>0</v>
      </c>
      <c r="BH144" s="213">
        <f t="shared" si="660"/>
        <v>0</v>
      </c>
      <c r="BI144" s="213">
        <f t="shared" si="660"/>
        <v>0</v>
      </c>
      <c r="BJ144" s="213">
        <f t="shared" si="660"/>
        <v>0</v>
      </c>
      <c r="BK144" s="213">
        <f t="shared" si="660"/>
        <v>0</v>
      </c>
      <c r="BL144" s="213">
        <f t="shared" si="660"/>
        <v>0</v>
      </c>
      <c r="BM144" s="213">
        <f t="shared" si="660"/>
        <v>0</v>
      </c>
      <c r="BN144" s="213">
        <f t="shared" si="660"/>
        <v>0</v>
      </c>
      <c r="BO144" s="213">
        <f t="shared" si="660"/>
        <v>0</v>
      </c>
      <c r="BP144" s="213">
        <f t="shared" si="660"/>
        <v>0</v>
      </c>
      <c r="BQ144" s="213">
        <f t="shared" si="660"/>
        <v>0</v>
      </c>
      <c r="BR144" s="213">
        <f t="shared" si="660"/>
        <v>0</v>
      </c>
      <c r="BS144" s="213">
        <f t="shared" si="660"/>
        <v>0</v>
      </c>
      <c r="BT144" s="213">
        <f t="shared" si="660"/>
        <v>0</v>
      </c>
      <c r="BU144" s="213">
        <f t="shared" si="660"/>
        <v>0</v>
      </c>
      <c r="BV144" s="213">
        <f t="shared" si="660"/>
        <v>0</v>
      </c>
      <c r="BW144" s="213">
        <f t="shared" si="660"/>
        <v>0</v>
      </c>
      <c r="BX144" s="51"/>
      <c r="BY144" s="51"/>
      <c r="BZ144" s="51"/>
      <c r="CA144" s="51"/>
      <c r="CB144" s="51"/>
      <c r="CC144" s="51"/>
      <c r="CD144" s="51"/>
      <c r="CE144" s="51"/>
      <c r="CF144" s="51"/>
      <c r="CG144" s="51"/>
    </row>
    <row r="145" spans="1:85" ht="15.75" customHeight="1">
      <c r="A145" s="68"/>
      <c r="B145" s="68" t="s">
        <v>296</v>
      </c>
      <c r="C145" s="68" t="s">
        <v>113</v>
      </c>
      <c r="D145" s="70" t="s">
        <v>297</v>
      </c>
      <c r="E145" s="57">
        <v>0</v>
      </c>
      <c r="F145" s="57">
        <v>0</v>
      </c>
      <c r="G145" s="58">
        <f>E145-F145</f>
        <v>0</v>
      </c>
      <c r="H145" s="57">
        <v>0</v>
      </c>
      <c r="I145" s="59">
        <f t="shared" si="267"/>
        <v>0</v>
      </c>
      <c r="J145" s="59">
        <f t="shared" si="268"/>
        <v>0</v>
      </c>
      <c r="K145" s="60">
        <v>0</v>
      </c>
      <c r="L145" s="100">
        <v>7477.31</v>
      </c>
      <c r="M145" s="100">
        <v>0</v>
      </c>
      <c r="N145" s="60">
        <v>0</v>
      </c>
      <c r="O145" s="61">
        <f t="shared" ref="O145:Q145" si="661">AA145+AD145+AG145+AJ145+AM145+AP145+AS145+AV145+AY145+BB145+BE145+BH145</f>
        <v>0</v>
      </c>
      <c r="P145" s="61">
        <f t="shared" si="661"/>
        <v>7477.31</v>
      </c>
      <c r="Q145" s="61">
        <f t="shared" si="661"/>
        <v>0</v>
      </c>
      <c r="R145" s="61">
        <f t="shared" ref="R145:T145" si="662">IF(BK145=0,SUM(AA145+AD145+AG145+AJ145+AM145+AP145+AS145+AV145+AY145+BB145+BE145+BH145),BK145)</f>
        <v>0</v>
      </c>
      <c r="S145" s="61">
        <f t="shared" si="662"/>
        <v>7477.31</v>
      </c>
      <c r="T145" s="61">
        <f t="shared" si="662"/>
        <v>0</v>
      </c>
      <c r="U145" s="63">
        <f>K145-O145</f>
        <v>0</v>
      </c>
      <c r="V145" s="63">
        <f>L145-M145-S145</f>
        <v>0</v>
      </c>
      <c r="W145" s="208">
        <f>N145-Q145</f>
        <v>0</v>
      </c>
      <c r="X145" s="64">
        <f t="shared" ref="X145:Y145" si="663">IF(O145&gt;0,O145/K145,0)</f>
        <v>0</v>
      </c>
      <c r="Y145" s="64">
        <f t="shared" si="663"/>
        <v>1</v>
      </c>
      <c r="Z145" s="64">
        <f t="shared" si="464"/>
        <v>0</v>
      </c>
      <c r="AA145" s="65"/>
      <c r="AB145" s="65">
        <f>3197.04+2698.55</f>
        <v>5895.59</v>
      </c>
      <c r="AC145" s="65"/>
      <c r="AD145" s="65"/>
      <c r="AE145" s="113">
        <v>1581.72</v>
      </c>
      <c r="AF145" s="66"/>
      <c r="AG145" s="66"/>
      <c r="AH145" s="66"/>
      <c r="AI145" s="65"/>
      <c r="AJ145" s="65"/>
      <c r="AK145" s="65"/>
      <c r="AL145" s="65"/>
      <c r="AM145" s="65"/>
      <c r="AN145" s="65"/>
      <c r="AO145" s="65"/>
      <c r="AP145" s="65"/>
      <c r="AQ145" s="65"/>
      <c r="AR145" s="65"/>
      <c r="AS145" s="65"/>
      <c r="AT145" s="65"/>
      <c r="AU145" s="65"/>
      <c r="AV145" s="65"/>
      <c r="AW145" s="65"/>
      <c r="AX145" s="65"/>
      <c r="AY145" s="65"/>
      <c r="AZ145" s="65"/>
      <c r="BA145" s="65"/>
      <c r="BB145" s="65"/>
      <c r="BC145" s="65"/>
      <c r="BD145" s="65"/>
      <c r="BE145" s="65"/>
      <c r="BF145" s="65"/>
      <c r="BG145" s="65"/>
      <c r="BH145" s="65"/>
      <c r="BI145" s="65"/>
      <c r="BJ145" s="65"/>
      <c r="BK145" s="65">
        <v>0</v>
      </c>
      <c r="BL145" s="65">
        <v>0</v>
      </c>
      <c r="BM145" s="65">
        <v>0</v>
      </c>
      <c r="BN145" s="65">
        <f>IF(O145-BK145&gt;0,O145-BK145,0)</f>
        <v>0</v>
      </c>
      <c r="BO145" s="67">
        <f>IF(Q145-BM145&gt;0,Q145-BM145,0)</f>
        <v>0</v>
      </c>
      <c r="BP145" s="65">
        <f>IF(BN145+BO145&gt;0,BN145+BO145,0)</f>
        <v>0</v>
      </c>
      <c r="BQ145" s="65">
        <f>IF(U145=0,0,U145)</f>
        <v>0</v>
      </c>
      <c r="BR145" s="65">
        <f>IF(W145=0,0,W145)</f>
        <v>0</v>
      </c>
      <c r="BS145" s="65">
        <f>IF(BQ145+BR145&gt;0,BQ145+BR145,0)</f>
        <v>0</v>
      </c>
      <c r="BT145" s="65">
        <f>IF(V145&gt;0,V145,0)</f>
        <v>0</v>
      </c>
      <c r="BU145" s="65">
        <f>IF(BP145=0,0,BP145)</f>
        <v>0</v>
      </c>
      <c r="BV145" s="65">
        <f>IF(BS145=0,0,BS145)</f>
        <v>0</v>
      </c>
      <c r="BW145" s="65">
        <f>IF(BP145+BT145+BV145&gt;0,BP145+BT145+BV145,0)</f>
        <v>0</v>
      </c>
      <c r="BX145" s="6"/>
      <c r="BY145" s="6"/>
      <c r="BZ145" s="6"/>
      <c r="CA145" s="6"/>
      <c r="CB145" s="6"/>
      <c r="CC145" s="6"/>
      <c r="CD145" s="6"/>
      <c r="CE145" s="6"/>
      <c r="CF145" s="6"/>
      <c r="CG145" s="6"/>
    </row>
    <row r="146" spans="1:85" ht="15.75">
      <c r="A146" s="217"/>
      <c r="B146" s="218"/>
      <c r="C146" s="219"/>
      <c r="D146" s="220" t="s">
        <v>137</v>
      </c>
      <c r="E146" s="213">
        <f t="shared" ref="E146:H146" si="664">SUM(E147:E148)</f>
        <v>0</v>
      </c>
      <c r="F146" s="214">
        <f t="shared" si="664"/>
        <v>0</v>
      </c>
      <c r="G146" s="214">
        <f t="shared" si="664"/>
        <v>0</v>
      </c>
      <c r="H146" s="214">
        <f t="shared" si="664"/>
        <v>0</v>
      </c>
      <c r="I146" s="215">
        <f t="shared" si="267"/>
        <v>0</v>
      </c>
      <c r="J146" s="215">
        <f t="shared" si="268"/>
        <v>0</v>
      </c>
      <c r="K146" s="214">
        <f t="shared" ref="K146:W146" si="665">SUM(K147:K148)</f>
        <v>0</v>
      </c>
      <c r="L146" s="214">
        <f t="shared" si="665"/>
        <v>15517.46</v>
      </c>
      <c r="M146" s="214">
        <f t="shared" si="665"/>
        <v>0</v>
      </c>
      <c r="N146" s="214">
        <f t="shared" si="665"/>
        <v>0</v>
      </c>
      <c r="O146" s="214">
        <f t="shared" si="665"/>
        <v>0</v>
      </c>
      <c r="P146" s="214">
        <f t="shared" si="665"/>
        <v>15517.46</v>
      </c>
      <c r="Q146" s="214">
        <f t="shared" si="665"/>
        <v>0</v>
      </c>
      <c r="R146" s="214">
        <f t="shared" si="665"/>
        <v>0</v>
      </c>
      <c r="S146" s="214">
        <f t="shared" si="665"/>
        <v>15517.46</v>
      </c>
      <c r="T146" s="214">
        <f t="shared" si="665"/>
        <v>0</v>
      </c>
      <c r="U146" s="214">
        <f t="shared" si="665"/>
        <v>0</v>
      </c>
      <c r="V146" s="214">
        <f t="shared" si="665"/>
        <v>0</v>
      </c>
      <c r="W146" s="214">
        <f t="shared" si="665"/>
        <v>0</v>
      </c>
      <c r="X146" s="216">
        <f t="shared" ref="X146:Y146" si="666">IF(O146&gt;0,O146/K146,0)</f>
        <v>0</v>
      </c>
      <c r="Y146" s="216">
        <f t="shared" si="666"/>
        <v>1</v>
      </c>
      <c r="Z146" s="216">
        <f t="shared" si="464"/>
        <v>0</v>
      </c>
      <c r="AA146" s="214">
        <f t="shared" ref="AA146:BW146" si="667">SUM(AA147:AA148)</f>
        <v>0</v>
      </c>
      <c r="AB146" s="214">
        <f t="shared" si="667"/>
        <v>0</v>
      </c>
      <c r="AC146" s="214">
        <f t="shared" si="667"/>
        <v>0</v>
      </c>
      <c r="AD146" s="214">
        <f t="shared" si="667"/>
        <v>0</v>
      </c>
      <c r="AE146" s="214">
        <f t="shared" si="667"/>
        <v>6878.79</v>
      </c>
      <c r="AF146" s="214">
        <f t="shared" si="667"/>
        <v>0</v>
      </c>
      <c r="AG146" s="214">
        <f t="shared" si="667"/>
        <v>0</v>
      </c>
      <c r="AH146" s="214">
        <f t="shared" si="667"/>
        <v>0</v>
      </c>
      <c r="AI146" s="214">
        <f t="shared" si="667"/>
        <v>0</v>
      </c>
      <c r="AJ146" s="214">
        <f t="shared" si="667"/>
        <v>0</v>
      </c>
      <c r="AK146" s="214">
        <f t="shared" si="667"/>
        <v>0</v>
      </c>
      <c r="AL146" s="214">
        <f t="shared" si="667"/>
        <v>0</v>
      </c>
      <c r="AM146" s="214">
        <f t="shared" si="667"/>
        <v>0</v>
      </c>
      <c r="AN146" s="214">
        <f t="shared" si="667"/>
        <v>8638.67</v>
      </c>
      <c r="AO146" s="214">
        <f t="shared" si="667"/>
        <v>0</v>
      </c>
      <c r="AP146" s="214">
        <f t="shared" si="667"/>
        <v>0</v>
      </c>
      <c r="AQ146" s="214">
        <f t="shared" si="667"/>
        <v>0</v>
      </c>
      <c r="AR146" s="214">
        <f t="shared" si="667"/>
        <v>0</v>
      </c>
      <c r="AS146" s="214">
        <f t="shared" si="667"/>
        <v>0</v>
      </c>
      <c r="AT146" s="214">
        <f t="shared" si="667"/>
        <v>0</v>
      </c>
      <c r="AU146" s="214">
        <f t="shared" si="667"/>
        <v>0</v>
      </c>
      <c r="AV146" s="214">
        <f t="shared" si="667"/>
        <v>0</v>
      </c>
      <c r="AW146" s="214">
        <f t="shared" si="667"/>
        <v>0</v>
      </c>
      <c r="AX146" s="214">
        <f t="shared" si="667"/>
        <v>0</v>
      </c>
      <c r="AY146" s="214">
        <f t="shared" si="667"/>
        <v>0</v>
      </c>
      <c r="AZ146" s="214">
        <f t="shared" si="667"/>
        <v>0</v>
      </c>
      <c r="BA146" s="214">
        <f t="shared" si="667"/>
        <v>0</v>
      </c>
      <c r="BB146" s="214">
        <f t="shared" si="667"/>
        <v>0</v>
      </c>
      <c r="BC146" s="214">
        <f t="shared" si="667"/>
        <v>0</v>
      </c>
      <c r="BD146" s="214">
        <f t="shared" si="667"/>
        <v>0</v>
      </c>
      <c r="BE146" s="214">
        <f t="shared" si="667"/>
        <v>0</v>
      </c>
      <c r="BF146" s="214">
        <f t="shared" si="667"/>
        <v>0</v>
      </c>
      <c r="BG146" s="214">
        <f t="shared" si="667"/>
        <v>0</v>
      </c>
      <c r="BH146" s="214">
        <f t="shared" si="667"/>
        <v>0</v>
      </c>
      <c r="BI146" s="214">
        <f t="shared" si="667"/>
        <v>0</v>
      </c>
      <c r="BJ146" s="214">
        <f t="shared" si="667"/>
        <v>0</v>
      </c>
      <c r="BK146" s="214">
        <f t="shared" si="667"/>
        <v>0</v>
      </c>
      <c r="BL146" s="214">
        <f t="shared" si="667"/>
        <v>0</v>
      </c>
      <c r="BM146" s="214">
        <f t="shared" si="667"/>
        <v>0</v>
      </c>
      <c r="BN146" s="214">
        <f t="shared" si="667"/>
        <v>0</v>
      </c>
      <c r="BO146" s="214">
        <f t="shared" si="667"/>
        <v>0</v>
      </c>
      <c r="BP146" s="214">
        <f t="shared" si="667"/>
        <v>0</v>
      </c>
      <c r="BQ146" s="214">
        <f t="shared" si="667"/>
        <v>0</v>
      </c>
      <c r="BR146" s="214">
        <f t="shared" si="667"/>
        <v>0</v>
      </c>
      <c r="BS146" s="214">
        <f t="shared" si="667"/>
        <v>0</v>
      </c>
      <c r="BT146" s="214">
        <f t="shared" si="667"/>
        <v>0</v>
      </c>
      <c r="BU146" s="214">
        <f t="shared" si="667"/>
        <v>0</v>
      </c>
      <c r="BV146" s="214">
        <f t="shared" si="667"/>
        <v>0</v>
      </c>
      <c r="BW146" s="214">
        <f t="shared" si="667"/>
        <v>0</v>
      </c>
      <c r="BX146" s="51"/>
      <c r="BY146" s="51"/>
      <c r="BZ146" s="51"/>
      <c r="CA146" s="51"/>
      <c r="CB146" s="51"/>
      <c r="CC146" s="51"/>
      <c r="CD146" s="51"/>
      <c r="CE146" s="51"/>
      <c r="CF146" s="51"/>
      <c r="CG146" s="51"/>
    </row>
    <row r="147" spans="1:85" ht="15.75" customHeight="1">
      <c r="A147" s="71"/>
      <c r="B147" s="71" t="s">
        <v>298</v>
      </c>
      <c r="C147" s="68" t="s">
        <v>142</v>
      </c>
      <c r="D147" s="70" t="s">
        <v>299</v>
      </c>
      <c r="E147" s="57">
        <v>0</v>
      </c>
      <c r="F147" s="57">
        <v>0</v>
      </c>
      <c r="G147" s="58">
        <f t="shared" ref="G147:G148" si="668">E147-F147</f>
        <v>0</v>
      </c>
      <c r="H147" s="57">
        <v>0</v>
      </c>
      <c r="I147" s="59">
        <f t="shared" si="267"/>
        <v>0</v>
      </c>
      <c r="J147" s="59">
        <f t="shared" si="268"/>
        <v>0</v>
      </c>
      <c r="K147" s="74">
        <v>0</v>
      </c>
      <c r="L147" s="74">
        <v>6878.79</v>
      </c>
      <c r="M147" s="74">
        <v>0</v>
      </c>
      <c r="N147" s="74">
        <v>0</v>
      </c>
      <c r="O147" s="61">
        <f t="shared" ref="O147:Q147" si="669">AA147+AD147+AG147+AJ147+AM147+AP147+AS147+AV147+AY147+BB147+BE147+BH147</f>
        <v>0</v>
      </c>
      <c r="P147" s="61">
        <f t="shared" si="669"/>
        <v>6878.79</v>
      </c>
      <c r="Q147" s="61">
        <f t="shared" si="669"/>
        <v>0</v>
      </c>
      <c r="R147" s="61">
        <f t="shared" ref="R147:T147" si="670">IF(BK147=0,SUM(AA147+AD147+AG147+AJ147+AM147+AP147+AS147+AV147+AY147+BB147+BE147+BH147),BK147)</f>
        <v>0</v>
      </c>
      <c r="S147" s="61">
        <f t="shared" si="670"/>
        <v>6878.79</v>
      </c>
      <c r="T147" s="61">
        <f t="shared" si="670"/>
        <v>0</v>
      </c>
      <c r="U147" s="63">
        <f t="shared" ref="U147:U148" si="671">K147-O147</f>
        <v>0</v>
      </c>
      <c r="V147" s="63">
        <f t="shared" ref="V147:V148" si="672">L147-M147-S147</f>
        <v>0</v>
      </c>
      <c r="W147" s="208">
        <f t="shared" ref="W147:W148" si="673">N147-Q147</f>
        <v>0</v>
      </c>
      <c r="X147" s="64">
        <f t="shared" ref="X147:Y147" si="674">IF(O147&gt;0,O147/K147,0)</f>
        <v>0</v>
      </c>
      <c r="Y147" s="64">
        <f t="shared" si="674"/>
        <v>1</v>
      </c>
      <c r="Z147" s="64">
        <f t="shared" si="464"/>
        <v>0</v>
      </c>
      <c r="AA147" s="65"/>
      <c r="AB147" s="65"/>
      <c r="AC147" s="65"/>
      <c r="AD147" s="65"/>
      <c r="AE147" s="113">
        <v>6878.79</v>
      </c>
      <c r="AF147" s="66"/>
      <c r="AG147" s="66"/>
      <c r="AH147" s="66"/>
      <c r="AI147" s="65"/>
      <c r="AJ147" s="65"/>
      <c r="AK147" s="65"/>
      <c r="AL147" s="65"/>
      <c r="AM147" s="65"/>
      <c r="AN147" s="65"/>
      <c r="AO147" s="65"/>
      <c r="AP147" s="65"/>
      <c r="AQ147" s="65"/>
      <c r="AR147" s="65"/>
      <c r="AS147" s="65"/>
      <c r="AT147" s="65"/>
      <c r="AU147" s="65"/>
      <c r="AV147" s="65"/>
      <c r="AW147" s="65"/>
      <c r="AX147" s="65"/>
      <c r="AY147" s="65"/>
      <c r="AZ147" s="65"/>
      <c r="BA147" s="65"/>
      <c r="BB147" s="65"/>
      <c r="BC147" s="65"/>
      <c r="BD147" s="65"/>
      <c r="BE147" s="65"/>
      <c r="BF147" s="65"/>
      <c r="BG147" s="65"/>
      <c r="BH147" s="65"/>
      <c r="BI147" s="65"/>
      <c r="BJ147" s="65"/>
      <c r="BK147" s="65">
        <v>0</v>
      </c>
      <c r="BL147" s="65">
        <v>0</v>
      </c>
      <c r="BM147" s="65">
        <v>0</v>
      </c>
      <c r="BN147" s="65">
        <f t="shared" ref="BN147:BN148" si="675">IF(O147-BK147&gt;0,O147-BK147,0)</f>
        <v>0</v>
      </c>
      <c r="BO147" s="67">
        <f t="shared" ref="BO147:BO148" si="676">IF(Q147-BM147&gt;0,Q147-BM147,0)</f>
        <v>0</v>
      </c>
      <c r="BP147" s="65">
        <f t="shared" ref="BP147:BP148" si="677">IF(BN147+BO147&gt;0,BN147+BO147,0)</f>
        <v>0</v>
      </c>
      <c r="BQ147" s="65">
        <f t="shared" ref="BQ147:BQ148" si="678">IF(U147=0,0,U147)</f>
        <v>0</v>
      </c>
      <c r="BR147" s="65">
        <f t="shared" ref="BR147:BR148" si="679">IF(W147=0,0,W147)</f>
        <v>0</v>
      </c>
      <c r="BS147" s="65">
        <f t="shared" ref="BS147:BS148" si="680">IF(BQ147+BR147&gt;0,BQ147+BR147,0)</f>
        <v>0</v>
      </c>
      <c r="BT147" s="65">
        <f t="shared" ref="BT147:BT148" si="681">IF(V147&gt;0,V147,0)</f>
        <v>0</v>
      </c>
      <c r="BU147" s="65">
        <f t="shared" ref="BU147:BU148" si="682">IF(BP147=0,0,BP147)</f>
        <v>0</v>
      </c>
      <c r="BV147" s="65">
        <f t="shared" ref="BV147:BV148" si="683">IF(BS147=0,0,BS147)</f>
        <v>0</v>
      </c>
      <c r="BW147" s="65">
        <f t="shared" ref="BW147:BW148" si="684">IF(BP147+BT147+BV147&gt;0,BP147+BT147+BV147,0)</f>
        <v>0</v>
      </c>
      <c r="BX147" s="6"/>
      <c r="BY147" s="6"/>
      <c r="BZ147" s="6"/>
      <c r="CA147" s="6"/>
      <c r="CB147" s="6"/>
      <c r="CC147" s="6"/>
      <c r="CD147" s="6"/>
      <c r="CE147" s="6"/>
      <c r="CF147" s="6"/>
      <c r="CG147" s="6"/>
    </row>
    <row r="148" spans="1:85" ht="15.75" customHeight="1">
      <c r="A148" s="121"/>
      <c r="B148" s="121" t="s">
        <v>300</v>
      </c>
      <c r="C148" s="68" t="s">
        <v>148</v>
      </c>
      <c r="D148" s="122" t="s">
        <v>301</v>
      </c>
      <c r="E148" s="57">
        <v>0</v>
      </c>
      <c r="F148" s="57">
        <v>0</v>
      </c>
      <c r="G148" s="58">
        <f t="shared" si="668"/>
        <v>0</v>
      </c>
      <c r="H148" s="57">
        <v>0</v>
      </c>
      <c r="I148" s="59">
        <f t="shared" si="267"/>
        <v>0</v>
      </c>
      <c r="J148" s="59">
        <f t="shared" si="268"/>
        <v>0</v>
      </c>
      <c r="K148" s="74">
        <v>0</v>
      </c>
      <c r="L148" s="74">
        <v>8638.67</v>
      </c>
      <c r="M148" s="74">
        <v>0</v>
      </c>
      <c r="N148" s="74">
        <v>0</v>
      </c>
      <c r="O148" s="61">
        <f t="shared" ref="O148:Q148" si="685">AA148+AD148+AG148+AJ148+AM148+AP148+AS148+AV148+AY148+BB148+BE148+BH148</f>
        <v>0</v>
      </c>
      <c r="P148" s="61">
        <f t="shared" si="685"/>
        <v>8638.67</v>
      </c>
      <c r="Q148" s="61">
        <f t="shared" si="685"/>
        <v>0</v>
      </c>
      <c r="R148" s="61">
        <f t="shared" ref="R148:T148" si="686">IF(BK148=0,SUM(AA148+AD148+AG148+AJ148+AM148+AP148+AS148+AV148+AY148+BB148+BE148+BH148),BK148)</f>
        <v>0</v>
      </c>
      <c r="S148" s="61">
        <f t="shared" si="686"/>
        <v>8638.67</v>
      </c>
      <c r="T148" s="61">
        <f t="shared" si="686"/>
        <v>0</v>
      </c>
      <c r="U148" s="63">
        <f t="shared" si="671"/>
        <v>0</v>
      </c>
      <c r="V148" s="63">
        <f t="shared" si="672"/>
        <v>0</v>
      </c>
      <c r="W148" s="63">
        <f t="shared" si="673"/>
        <v>0</v>
      </c>
      <c r="X148" s="64">
        <f t="shared" ref="X148:Y148" si="687">IF(O148&gt;0,O148/K148,0)</f>
        <v>0</v>
      </c>
      <c r="Y148" s="64">
        <f t="shared" si="687"/>
        <v>1</v>
      </c>
      <c r="Z148" s="64">
        <f t="shared" si="464"/>
        <v>0</v>
      </c>
      <c r="AA148" s="65"/>
      <c r="AB148" s="65"/>
      <c r="AC148" s="65"/>
      <c r="AD148" s="65"/>
      <c r="AE148" s="66"/>
      <c r="AF148" s="66"/>
      <c r="AG148" s="66"/>
      <c r="AH148" s="66"/>
      <c r="AI148" s="65"/>
      <c r="AJ148" s="65"/>
      <c r="AK148" s="65"/>
      <c r="AL148" s="65"/>
      <c r="AM148" s="65"/>
      <c r="AN148" s="65">
        <f>8638.67</f>
        <v>8638.67</v>
      </c>
      <c r="AO148" s="65"/>
      <c r="AP148" s="65"/>
      <c r="AQ148" s="65"/>
      <c r="AR148" s="65"/>
      <c r="AS148" s="65"/>
      <c r="AT148" s="65"/>
      <c r="AU148" s="65"/>
      <c r="AV148" s="65"/>
      <c r="AW148" s="65"/>
      <c r="AX148" s="65"/>
      <c r="AY148" s="65"/>
      <c r="AZ148" s="65"/>
      <c r="BA148" s="65"/>
      <c r="BB148" s="65"/>
      <c r="BC148" s="65"/>
      <c r="BD148" s="65"/>
      <c r="BE148" s="65"/>
      <c r="BF148" s="65"/>
      <c r="BG148" s="65"/>
      <c r="BH148" s="65"/>
      <c r="BI148" s="65"/>
      <c r="BJ148" s="65"/>
      <c r="BK148" s="65">
        <v>0</v>
      </c>
      <c r="BL148" s="65">
        <v>0</v>
      </c>
      <c r="BM148" s="65">
        <v>0</v>
      </c>
      <c r="BN148" s="65">
        <f t="shared" si="675"/>
        <v>0</v>
      </c>
      <c r="BO148" s="67">
        <f t="shared" si="676"/>
        <v>0</v>
      </c>
      <c r="BP148" s="65">
        <f t="shared" si="677"/>
        <v>0</v>
      </c>
      <c r="BQ148" s="65">
        <f t="shared" si="678"/>
        <v>0</v>
      </c>
      <c r="BR148" s="65">
        <f t="shared" si="679"/>
        <v>0</v>
      </c>
      <c r="BS148" s="65">
        <f t="shared" si="680"/>
        <v>0</v>
      </c>
      <c r="BT148" s="65">
        <f t="shared" si="681"/>
        <v>0</v>
      </c>
      <c r="BU148" s="65">
        <f t="shared" si="682"/>
        <v>0</v>
      </c>
      <c r="BV148" s="65">
        <f t="shared" si="683"/>
        <v>0</v>
      </c>
      <c r="BW148" s="65">
        <f t="shared" si="684"/>
        <v>0</v>
      </c>
      <c r="BX148" s="6"/>
      <c r="BY148" s="6"/>
      <c r="BZ148" s="6"/>
      <c r="CA148" s="6"/>
      <c r="CB148" s="6"/>
      <c r="CC148" s="6"/>
      <c r="CD148" s="6"/>
      <c r="CE148" s="6"/>
      <c r="CF148" s="6"/>
      <c r="CG148" s="6"/>
    </row>
    <row r="149" spans="1:85" ht="15.75">
      <c r="A149" s="217"/>
      <c r="B149" s="218"/>
      <c r="C149" s="219"/>
      <c r="D149" s="220" t="s">
        <v>168</v>
      </c>
      <c r="E149" s="213">
        <f t="shared" ref="E149:H149" si="688">SUM(E150)</f>
        <v>0</v>
      </c>
      <c r="F149" s="213">
        <f t="shared" si="688"/>
        <v>0</v>
      </c>
      <c r="G149" s="213">
        <f t="shared" si="688"/>
        <v>0</v>
      </c>
      <c r="H149" s="213">
        <f t="shared" si="688"/>
        <v>0</v>
      </c>
      <c r="I149" s="215">
        <f t="shared" si="267"/>
        <v>0</v>
      </c>
      <c r="J149" s="215">
        <f t="shared" si="268"/>
        <v>0</v>
      </c>
      <c r="K149" s="213">
        <f t="shared" ref="K149:W149" si="689">SUM(K150)</f>
        <v>0</v>
      </c>
      <c r="L149" s="213">
        <f t="shared" si="689"/>
        <v>91501.19</v>
      </c>
      <c r="M149" s="213">
        <f t="shared" si="689"/>
        <v>0</v>
      </c>
      <c r="N149" s="213">
        <f t="shared" si="689"/>
        <v>0</v>
      </c>
      <c r="O149" s="213">
        <f t="shared" si="689"/>
        <v>0</v>
      </c>
      <c r="P149" s="213">
        <f t="shared" si="689"/>
        <v>0</v>
      </c>
      <c r="Q149" s="213">
        <f t="shared" si="689"/>
        <v>0</v>
      </c>
      <c r="R149" s="213">
        <f t="shared" si="689"/>
        <v>0</v>
      </c>
      <c r="S149" s="213">
        <f t="shared" si="689"/>
        <v>0</v>
      </c>
      <c r="T149" s="213">
        <f t="shared" si="689"/>
        <v>0</v>
      </c>
      <c r="U149" s="213">
        <f t="shared" si="689"/>
        <v>0</v>
      </c>
      <c r="V149" s="213">
        <f t="shared" si="689"/>
        <v>91501.19</v>
      </c>
      <c r="W149" s="213">
        <f t="shared" si="689"/>
        <v>0</v>
      </c>
      <c r="X149" s="216">
        <f t="shared" ref="X149:Y149" si="690">IF(O149&gt;0,O149/K149,0)</f>
        <v>0</v>
      </c>
      <c r="Y149" s="216">
        <f t="shared" si="690"/>
        <v>0</v>
      </c>
      <c r="Z149" s="216">
        <f t="shared" si="464"/>
        <v>0</v>
      </c>
      <c r="AA149" s="213">
        <f t="shared" ref="AA149:BW149" si="691">SUM(AA150)</f>
        <v>0</v>
      </c>
      <c r="AB149" s="213">
        <f t="shared" si="691"/>
        <v>0</v>
      </c>
      <c r="AC149" s="213">
        <f t="shared" si="691"/>
        <v>0</v>
      </c>
      <c r="AD149" s="213">
        <f t="shared" si="691"/>
        <v>0</v>
      </c>
      <c r="AE149" s="213">
        <f t="shared" si="691"/>
        <v>0</v>
      </c>
      <c r="AF149" s="213">
        <f t="shared" si="691"/>
        <v>0</v>
      </c>
      <c r="AG149" s="213">
        <f t="shared" si="691"/>
        <v>0</v>
      </c>
      <c r="AH149" s="213">
        <f t="shared" si="691"/>
        <v>0</v>
      </c>
      <c r="AI149" s="213">
        <f t="shared" si="691"/>
        <v>0</v>
      </c>
      <c r="AJ149" s="213">
        <f t="shared" si="691"/>
        <v>0</v>
      </c>
      <c r="AK149" s="213">
        <f t="shared" si="691"/>
        <v>0</v>
      </c>
      <c r="AL149" s="213">
        <f t="shared" si="691"/>
        <v>0</v>
      </c>
      <c r="AM149" s="213">
        <f t="shared" si="691"/>
        <v>0</v>
      </c>
      <c r="AN149" s="213">
        <f t="shared" si="691"/>
        <v>0</v>
      </c>
      <c r="AO149" s="213">
        <f t="shared" si="691"/>
        <v>0</v>
      </c>
      <c r="AP149" s="213">
        <f t="shared" si="691"/>
        <v>0</v>
      </c>
      <c r="AQ149" s="213">
        <f t="shared" si="691"/>
        <v>0</v>
      </c>
      <c r="AR149" s="213">
        <f t="shared" si="691"/>
        <v>0</v>
      </c>
      <c r="AS149" s="213">
        <f t="shared" si="691"/>
        <v>0</v>
      </c>
      <c r="AT149" s="213">
        <f t="shared" si="691"/>
        <v>0</v>
      </c>
      <c r="AU149" s="213">
        <f t="shared" si="691"/>
        <v>0</v>
      </c>
      <c r="AV149" s="213">
        <f t="shared" si="691"/>
        <v>0</v>
      </c>
      <c r="AW149" s="213">
        <f t="shared" si="691"/>
        <v>0</v>
      </c>
      <c r="AX149" s="213">
        <f t="shared" si="691"/>
        <v>0</v>
      </c>
      <c r="AY149" s="213">
        <f t="shared" si="691"/>
        <v>0</v>
      </c>
      <c r="AZ149" s="213">
        <f t="shared" si="691"/>
        <v>0</v>
      </c>
      <c r="BA149" s="213">
        <f t="shared" si="691"/>
        <v>0</v>
      </c>
      <c r="BB149" s="213">
        <f t="shared" si="691"/>
        <v>0</v>
      </c>
      <c r="BC149" s="213">
        <f t="shared" si="691"/>
        <v>0</v>
      </c>
      <c r="BD149" s="213">
        <f t="shared" si="691"/>
        <v>0</v>
      </c>
      <c r="BE149" s="213">
        <f t="shared" si="691"/>
        <v>0</v>
      </c>
      <c r="BF149" s="213">
        <f t="shared" si="691"/>
        <v>0</v>
      </c>
      <c r="BG149" s="213">
        <f t="shared" si="691"/>
        <v>0</v>
      </c>
      <c r="BH149" s="213">
        <f t="shared" si="691"/>
        <v>0</v>
      </c>
      <c r="BI149" s="213">
        <f t="shared" si="691"/>
        <v>0</v>
      </c>
      <c r="BJ149" s="213">
        <f t="shared" si="691"/>
        <v>0</v>
      </c>
      <c r="BK149" s="213">
        <f t="shared" si="691"/>
        <v>0</v>
      </c>
      <c r="BL149" s="213">
        <f t="shared" si="691"/>
        <v>0</v>
      </c>
      <c r="BM149" s="213">
        <f t="shared" si="691"/>
        <v>0</v>
      </c>
      <c r="BN149" s="213">
        <f t="shared" si="691"/>
        <v>0</v>
      </c>
      <c r="BO149" s="213">
        <f t="shared" si="691"/>
        <v>0</v>
      </c>
      <c r="BP149" s="213">
        <f t="shared" si="691"/>
        <v>0</v>
      </c>
      <c r="BQ149" s="213">
        <f t="shared" si="691"/>
        <v>0</v>
      </c>
      <c r="BR149" s="213">
        <f t="shared" si="691"/>
        <v>0</v>
      </c>
      <c r="BS149" s="213">
        <f t="shared" si="691"/>
        <v>0</v>
      </c>
      <c r="BT149" s="213">
        <f t="shared" si="691"/>
        <v>91501.19</v>
      </c>
      <c r="BU149" s="213">
        <f t="shared" si="691"/>
        <v>0</v>
      </c>
      <c r="BV149" s="213">
        <f t="shared" si="691"/>
        <v>0</v>
      </c>
      <c r="BW149" s="213">
        <f t="shared" si="691"/>
        <v>91501.19</v>
      </c>
      <c r="BX149" s="51"/>
      <c r="BY149" s="51"/>
      <c r="BZ149" s="51"/>
      <c r="CA149" s="51"/>
      <c r="CB149" s="51"/>
      <c r="CC149" s="51"/>
      <c r="CD149" s="51"/>
      <c r="CE149" s="51"/>
      <c r="CF149" s="51"/>
      <c r="CG149" s="51"/>
    </row>
    <row r="150" spans="1:85" ht="15.75" customHeight="1">
      <c r="A150" s="54"/>
      <c r="B150" s="54" t="s">
        <v>302</v>
      </c>
      <c r="C150" s="68" t="s">
        <v>170</v>
      </c>
      <c r="D150" s="70" t="s">
        <v>303</v>
      </c>
      <c r="E150" s="57">
        <v>0</v>
      </c>
      <c r="F150" s="57">
        <v>0</v>
      </c>
      <c r="G150" s="58">
        <f>E150-F150</f>
        <v>0</v>
      </c>
      <c r="H150" s="57">
        <v>0</v>
      </c>
      <c r="I150" s="59">
        <f t="shared" si="267"/>
        <v>0</v>
      </c>
      <c r="J150" s="59">
        <f t="shared" si="268"/>
        <v>0</v>
      </c>
      <c r="K150" s="60">
        <v>0</v>
      </c>
      <c r="L150" s="100">
        <v>91501.19</v>
      </c>
      <c r="M150" s="100">
        <v>0</v>
      </c>
      <c r="N150" s="60">
        <v>0</v>
      </c>
      <c r="O150" s="61">
        <f t="shared" ref="O150:Q150" si="692">AA150+AD150+AG150+AJ150+AM150+AP150+AS150+AV150+AY150+BB150+BE150+BH150</f>
        <v>0</v>
      </c>
      <c r="P150" s="61">
        <f t="shared" si="692"/>
        <v>0</v>
      </c>
      <c r="Q150" s="61">
        <f t="shared" si="692"/>
        <v>0</v>
      </c>
      <c r="R150" s="61">
        <f t="shared" ref="R150:T150" si="693">IF(BK150=0,SUM(AA150+AD150+AG150+AJ150+AM150+AP150+AS150+AV150+AY150+BB150+BE150+BH150),BK150)</f>
        <v>0</v>
      </c>
      <c r="S150" s="61">
        <f t="shared" si="693"/>
        <v>0</v>
      </c>
      <c r="T150" s="61">
        <f t="shared" si="693"/>
        <v>0</v>
      </c>
      <c r="U150" s="63">
        <f>K150-O150</f>
        <v>0</v>
      </c>
      <c r="V150" s="170">
        <f>L150-M150-S150</f>
        <v>91501.19</v>
      </c>
      <c r="W150" s="63">
        <f>N150-Q150</f>
        <v>0</v>
      </c>
      <c r="X150" s="64">
        <f t="shared" ref="X150:Y150" si="694">IF(O150&gt;0,O150/K150,0)</f>
        <v>0</v>
      </c>
      <c r="Y150" s="64">
        <f t="shared" si="694"/>
        <v>0</v>
      </c>
      <c r="Z150" s="64">
        <f t="shared" si="464"/>
        <v>0</v>
      </c>
      <c r="AA150" s="65"/>
      <c r="AB150" s="65"/>
      <c r="AC150" s="65"/>
      <c r="AD150" s="65"/>
      <c r="AE150" s="66"/>
      <c r="AF150" s="66"/>
      <c r="AG150" s="66"/>
      <c r="AH150" s="66"/>
      <c r="AI150" s="65"/>
      <c r="AJ150" s="65"/>
      <c r="AK150" s="65"/>
      <c r="AL150" s="65"/>
      <c r="AM150" s="65"/>
      <c r="AN150" s="65"/>
      <c r="AO150" s="65"/>
      <c r="AP150" s="65"/>
      <c r="AQ150" s="65"/>
      <c r="AR150" s="65"/>
      <c r="AS150" s="65"/>
      <c r="AT150" s="65"/>
      <c r="AU150" s="65"/>
      <c r="AV150" s="65"/>
      <c r="AW150" s="65"/>
      <c r="AX150" s="65"/>
      <c r="AY150" s="65"/>
      <c r="AZ150" s="65"/>
      <c r="BA150" s="65"/>
      <c r="BB150" s="65"/>
      <c r="BC150" s="65"/>
      <c r="BD150" s="65"/>
      <c r="BE150" s="65"/>
      <c r="BF150" s="65"/>
      <c r="BG150" s="65"/>
      <c r="BH150" s="65"/>
      <c r="BI150" s="65"/>
      <c r="BJ150" s="65"/>
      <c r="BK150" s="65">
        <v>0</v>
      </c>
      <c r="BL150" s="65">
        <v>0</v>
      </c>
      <c r="BM150" s="65">
        <v>0</v>
      </c>
      <c r="BN150" s="65">
        <f>IF(O150-BK150&gt;0,O150-BK150,0)</f>
        <v>0</v>
      </c>
      <c r="BO150" s="67">
        <f>IF(Q150-BM150&gt;0,Q150-BM150,0)</f>
        <v>0</v>
      </c>
      <c r="BP150" s="65">
        <f>IF(BN150+BO150&gt;0,BN150+BO150,0)</f>
        <v>0</v>
      </c>
      <c r="BQ150" s="65">
        <f>IF(U150=0,0,U150)</f>
        <v>0</v>
      </c>
      <c r="BR150" s="65">
        <f>IF(W150=0,0,W150)</f>
        <v>0</v>
      </c>
      <c r="BS150" s="65">
        <f>IF(BQ150+BR150&gt;0,BQ150+BR150,0)</f>
        <v>0</v>
      </c>
      <c r="BT150" s="65">
        <f>IF(V150&gt;0,V150,0)</f>
        <v>91501.19</v>
      </c>
      <c r="BU150" s="65">
        <f>IF(BP150=0,0,BP150)</f>
        <v>0</v>
      </c>
      <c r="BV150" s="65">
        <f>IF(BS150=0,0,BS150)</f>
        <v>0</v>
      </c>
      <c r="BW150" s="65">
        <f>IF(BP150+BT150+BV150&gt;0,BP150+BT150+BV150,0)</f>
        <v>91501.19</v>
      </c>
      <c r="BX150" s="6"/>
      <c r="BY150" s="6"/>
      <c r="BZ150" s="6"/>
      <c r="CA150" s="6"/>
      <c r="CB150" s="6"/>
      <c r="CC150" s="6"/>
      <c r="CD150" s="6"/>
      <c r="CE150" s="6"/>
      <c r="CF150" s="6"/>
      <c r="CG150" s="6"/>
    </row>
    <row r="151" spans="1:85" ht="15.75">
      <c r="A151" s="217"/>
      <c r="B151" s="218"/>
      <c r="C151" s="219"/>
      <c r="D151" s="220" t="s">
        <v>223</v>
      </c>
      <c r="E151" s="213">
        <f t="shared" ref="E151:H151" si="695">SUM(E152:E153)</f>
        <v>0</v>
      </c>
      <c r="F151" s="214">
        <f t="shared" si="695"/>
        <v>0</v>
      </c>
      <c r="G151" s="214">
        <f t="shared" si="695"/>
        <v>0</v>
      </c>
      <c r="H151" s="214">
        <f t="shared" si="695"/>
        <v>0</v>
      </c>
      <c r="I151" s="215">
        <f t="shared" si="267"/>
        <v>0</v>
      </c>
      <c r="J151" s="215">
        <f t="shared" si="268"/>
        <v>0</v>
      </c>
      <c r="K151" s="214">
        <f t="shared" ref="K151:W151" si="696">SUM(K152:K153)</f>
        <v>0</v>
      </c>
      <c r="L151" s="214">
        <f t="shared" si="696"/>
        <v>19809.5</v>
      </c>
      <c r="M151" s="214">
        <f t="shared" si="696"/>
        <v>0</v>
      </c>
      <c r="N151" s="214">
        <f t="shared" si="696"/>
        <v>0</v>
      </c>
      <c r="O151" s="214">
        <f t="shared" si="696"/>
        <v>0</v>
      </c>
      <c r="P151" s="214">
        <f t="shared" si="696"/>
        <v>19809.5</v>
      </c>
      <c r="Q151" s="214">
        <f t="shared" si="696"/>
        <v>0</v>
      </c>
      <c r="R151" s="214">
        <f t="shared" si="696"/>
        <v>0</v>
      </c>
      <c r="S151" s="214">
        <f t="shared" si="696"/>
        <v>19809.5</v>
      </c>
      <c r="T151" s="214">
        <f t="shared" si="696"/>
        <v>0</v>
      </c>
      <c r="U151" s="214">
        <f t="shared" si="696"/>
        <v>0</v>
      </c>
      <c r="V151" s="214">
        <f t="shared" si="696"/>
        <v>0</v>
      </c>
      <c r="W151" s="214">
        <f t="shared" si="696"/>
        <v>0</v>
      </c>
      <c r="X151" s="216">
        <f t="shared" ref="X151:Y151" si="697">IF(O151&gt;0,O151/K151,0)</f>
        <v>0</v>
      </c>
      <c r="Y151" s="216">
        <f t="shared" si="697"/>
        <v>1</v>
      </c>
      <c r="Z151" s="216">
        <f t="shared" si="464"/>
        <v>0</v>
      </c>
      <c r="AA151" s="214">
        <f t="shared" ref="AA151:BW151" si="698">SUM(AA152:AA153)</f>
        <v>0</v>
      </c>
      <c r="AB151" s="214">
        <f t="shared" si="698"/>
        <v>19809.5</v>
      </c>
      <c r="AC151" s="214">
        <f t="shared" si="698"/>
        <v>0</v>
      </c>
      <c r="AD151" s="214">
        <f t="shared" si="698"/>
        <v>0</v>
      </c>
      <c r="AE151" s="214">
        <f t="shared" si="698"/>
        <v>0</v>
      </c>
      <c r="AF151" s="214">
        <f t="shared" si="698"/>
        <v>0</v>
      </c>
      <c r="AG151" s="214">
        <f t="shared" si="698"/>
        <v>0</v>
      </c>
      <c r="AH151" s="214">
        <f t="shared" si="698"/>
        <v>0</v>
      </c>
      <c r="AI151" s="214">
        <f t="shared" si="698"/>
        <v>0</v>
      </c>
      <c r="AJ151" s="214">
        <f t="shared" si="698"/>
        <v>0</v>
      </c>
      <c r="AK151" s="214">
        <f t="shared" si="698"/>
        <v>0</v>
      </c>
      <c r="AL151" s="214">
        <f t="shared" si="698"/>
        <v>0</v>
      </c>
      <c r="AM151" s="214">
        <f t="shared" si="698"/>
        <v>0</v>
      </c>
      <c r="AN151" s="214">
        <f t="shared" si="698"/>
        <v>0</v>
      </c>
      <c r="AO151" s="214">
        <f t="shared" si="698"/>
        <v>0</v>
      </c>
      <c r="AP151" s="214">
        <f t="shared" si="698"/>
        <v>0</v>
      </c>
      <c r="AQ151" s="214">
        <f t="shared" si="698"/>
        <v>0</v>
      </c>
      <c r="AR151" s="214">
        <f t="shared" si="698"/>
        <v>0</v>
      </c>
      <c r="AS151" s="214">
        <f t="shared" si="698"/>
        <v>0</v>
      </c>
      <c r="AT151" s="214">
        <f t="shared" si="698"/>
        <v>0</v>
      </c>
      <c r="AU151" s="214">
        <f t="shared" si="698"/>
        <v>0</v>
      </c>
      <c r="AV151" s="214">
        <f t="shared" si="698"/>
        <v>0</v>
      </c>
      <c r="AW151" s="214">
        <f t="shared" si="698"/>
        <v>0</v>
      </c>
      <c r="AX151" s="214">
        <f t="shared" si="698"/>
        <v>0</v>
      </c>
      <c r="AY151" s="214">
        <f t="shared" si="698"/>
        <v>0</v>
      </c>
      <c r="AZ151" s="214">
        <f t="shared" si="698"/>
        <v>0</v>
      </c>
      <c r="BA151" s="214">
        <f t="shared" si="698"/>
        <v>0</v>
      </c>
      <c r="BB151" s="214">
        <f t="shared" si="698"/>
        <v>0</v>
      </c>
      <c r="BC151" s="214">
        <f t="shared" si="698"/>
        <v>0</v>
      </c>
      <c r="BD151" s="214">
        <f t="shared" si="698"/>
        <v>0</v>
      </c>
      <c r="BE151" s="214">
        <f t="shared" si="698"/>
        <v>0</v>
      </c>
      <c r="BF151" s="214">
        <f t="shared" si="698"/>
        <v>0</v>
      </c>
      <c r="BG151" s="214">
        <f t="shared" si="698"/>
        <v>0</v>
      </c>
      <c r="BH151" s="214">
        <f t="shared" si="698"/>
        <v>0</v>
      </c>
      <c r="BI151" s="214">
        <f t="shared" si="698"/>
        <v>0</v>
      </c>
      <c r="BJ151" s="214">
        <f t="shared" si="698"/>
        <v>0</v>
      </c>
      <c r="BK151" s="214">
        <f t="shared" si="698"/>
        <v>0</v>
      </c>
      <c r="BL151" s="214">
        <f t="shared" si="698"/>
        <v>0</v>
      </c>
      <c r="BM151" s="214">
        <f t="shared" si="698"/>
        <v>0</v>
      </c>
      <c r="BN151" s="214">
        <f t="shared" si="698"/>
        <v>0</v>
      </c>
      <c r="BO151" s="214">
        <f t="shared" si="698"/>
        <v>0</v>
      </c>
      <c r="BP151" s="214">
        <f t="shared" si="698"/>
        <v>0</v>
      </c>
      <c r="BQ151" s="214">
        <f t="shared" si="698"/>
        <v>0</v>
      </c>
      <c r="BR151" s="214">
        <f t="shared" si="698"/>
        <v>0</v>
      </c>
      <c r="BS151" s="214">
        <f t="shared" si="698"/>
        <v>0</v>
      </c>
      <c r="BT151" s="214">
        <f t="shared" si="698"/>
        <v>0</v>
      </c>
      <c r="BU151" s="214">
        <f t="shared" si="698"/>
        <v>0</v>
      </c>
      <c r="BV151" s="214">
        <f t="shared" si="698"/>
        <v>0</v>
      </c>
      <c r="BW151" s="214">
        <f t="shared" si="698"/>
        <v>0</v>
      </c>
      <c r="BX151" s="51"/>
      <c r="BY151" s="51"/>
      <c r="BZ151" s="51"/>
      <c r="CA151" s="51"/>
      <c r="CB151" s="51"/>
      <c r="CC151" s="51"/>
      <c r="CD151" s="51"/>
      <c r="CE151" s="51"/>
      <c r="CF151" s="51"/>
      <c r="CG151" s="51"/>
    </row>
    <row r="152" spans="1:85" ht="15.75" customHeight="1">
      <c r="A152" s="121"/>
      <c r="B152" s="121" t="s">
        <v>304</v>
      </c>
      <c r="C152" s="189" t="s">
        <v>224</v>
      </c>
      <c r="D152" s="190" t="s">
        <v>305</v>
      </c>
      <c r="E152" s="57">
        <v>0</v>
      </c>
      <c r="F152" s="57">
        <v>0</v>
      </c>
      <c r="G152" s="58">
        <f t="shared" ref="G152:G153" si="699">E152-F152</f>
        <v>0</v>
      </c>
      <c r="H152" s="57">
        <v>0</v>
      </c>
      <c r="I152" s="59">
        <f t="shared" si="267"/>
        <v>0</v>
      </c>
      <c r="J152" s="59">
        <f t="shared" si="268"/>
        <v>0</v>
      </c>
      <c r="K152" s="60">
        <v>0</v>
      </c>
      <c r="L152" s="172">
        <v>19409.939999999999</v>
      </c>
      <c r="M152" s="172">
        <v>0</v>
      </c>
      <c r="N152" s="60">
        <v>0</v>
      </c>
      <c r="O152" s="61">
        <f t="shared" ref="O152:Q152" si="700">AA152+AD152+AG152+AJ152+AM152+AP152+AS152+AV152+AY152+BB152+BE152+BH152</f>
        <v>0</v>
      </c>
      <c r="P152" s="61">
        <f t="shared" si="700"/>
        <v>19409.939999999999</v>
      </c>
      <c r="Q152" s="61">
        <f t="shared" si="700"/>
        <v>0</v>
      </c>
      <c r="R152" s="61">
        <f t="shared" ref="R152:T152" si="701">IF(BK152=0,SUM(AA152+AD152+AG152+AJ152+AM152+AP152+AS152+AV152+AY152+BB152+BE152+BH152),BK152)</f>
        <v>0</v>
      </c>
      <c r="S152" s="61">
        <f t="shared" si="701"/>
        <v>19409.939999999999</v>
      </c>
      <c r="T152" s="61">
        <f t="shared" si="701"/>
        <v>0</v>
      </c>
      <c r="U152" s="63">
        <f t="shared" ref="U152:U153" si="702">K152-O152</f>
        <v>0</v>
      </c>
      <c r="V152" s="63">
        <f t="shared" ref="V152:V153" si="703">L152-M152-S152</f>
        <v>0</v>
      </c>
      <c r="W152" s="208">
        <f t="shared" ref="W152:W153" si="704">N152-Q152</f>
        <v>0</v>
      </c>
      <c r="X152" s="64">
        <f t="shared" ref="X152:Y152" si="705">IF(O152&gt;0,O152/K152,0)</f>
        <v>0</v>
      </c>
      <c r="Y152" s="64">
        <f t="shared" si="705"/>
        <v>1</v>
      </c>
      <c r="Z152" s="64">
        <f t="shared" si="464"/>
        <v>0</v>
      </c>
      <c r="AA152" s="65"/>
      <c r="AB152" s="65">
        <f>19409.94</f>
        <v>19409.939999999999</v>
      </c>
      <c r="AC152" s="65"/>
      <c r="AD152" s="65"/>
      <c r="AE152" s="66"/>
      <c r="AF152" s="66"/>
      <c r="AG152" s="66"/>
      <c r="AH152" s="66"/>
      <c r="AI152" s="65"/>
      <c r="AJ152" s="65"/>
      <c r="AK152" s="65"/>
      <c r="AL152" s="65"/>
      <c r="AM152" s="65"/>
      <c r="AN152" s="65"/>
      <c r="AO152" s="65"/>
      <c r="AP152" s="65"/>
      <c r="AQ152" s="65"/>
      <c r="AR152" s="65"/>
      <c r="AS152" s="65"/>
      <c r="AT152" s="65"/>
      <c r="AU152" s="65"/>
      <c r="AV152" s="65"/>
      <c r="AW152" s="65"/>
      <c r="AX152" s="65"/>
      <c r="AY152" s="65"/>
      <c r="AZ152" s="65"/>
      <c r="BA152" s="65"/>
      <c r="BB152" s="65"/>
      <c r="BC152" s="65"/>
      <c r="BD152" s="65"/>
      <c r="BE152" s="65"/>
      <c r="BF152" s="65"/>
      <c r="BG152" s="65"/>
      <c r="BH152" s="65"/>
      <c r="BI152" s="65"/>
      <c r="BJ152" s="65"/>
      <c r="BK152" s="65">
        <v>0</v>
      </c>
      <c r="BL152" s="65">
        <v>0</v>
      </c>
      <c r="BM152" s="65">
        <v>0</v>
      </c>
      <c r="BN152" s="65">
        <f t="shared" ref="BN152:BN153" si="706">IF(O152-BK152&gt;0,O152-BK152,0)</f>
        <v>0</v>
      </c>
      <c r="BO152" s="67">
        <f t="shared" ref="BO152:BO153" si="707">IF(Q152-BM152&gt;0,Q152-BM152,0)</f>
        <v>0</v>
      </c>
      <c r="BP152" s="65">
        <f t="shared" ref="BP152:BP153" si="708">IF(BN152+BO152&gt;0,BN152+BO152,0)</f>
        <v>0</v>
      </c>
      <c r="BQ152" s="65">
        <f t="shared" ref="BQ152:BQ153" si="709">IF(U152=0,0,U152)</f>
        <v>0</v>
      </c>
      <c r="BR152" s="65">
        <f t="shared" ref="BR152:BR153" si="710">IF(W152=0,0,W152)</f>
        <v>0</v>
      </c>
      <c r="BS152" s="65">
        <f t="shared" ref="BS152:BS153" si="711">IF(BQ152+BR152&gt;0,BQ152+BR152,0)</f>
        <v>0</v>
      </c>
      <c r="BT152" s="65">
        <f t="shared" ref="BT152:BT153" si="712">IF(V152&gt;0,V152,0)</f>
        <v>0</v>
      </c>
      <c r="BU152" s="65">
        <f t="shared" ref="BU152:BU153" si="713">IF(BP152=0,0,BP152)</f>
        <v>0</v>
      </c>
      <c r="BV152" s="65">
        <f t="shared" ref="BV152:BV153" si="714">IF(BS152=0,0,BS152)</f>
        <v>0</v>
      </c>
      <c r="BW152" s="65">
        <f t="shared" ref="BW152:BW153" si="715">IF(BP152+BT152+BV152&gt;0,BP152+BT152+BV152,0)</f>
        <v>0</v>
      </c>
      <c r="BX152" s="6"/>
      <c r="BY152" s="6"/>
      <c r="BZ152" s="6"/>
      <c r="CA152" s="6"/>
      <c r="CB152" s="6"/>
      <c r="CC152" s="6"/>
      <c r="CD152" s="6"/>
      <c r="CE152" s="6"/>
      <c r="CF152" s="6"/>
      <c r="CG152" s="6"/>
    </row>
    <row r="153" spans="1:85" ht="15.75" customHeight="1">
      <c r="A153" s="119"/>
      <c r="B153" s="119" t="s">
        <v>306</v>
      </c>
      <c r="C153" s="71" t="s">
        <v>232</v>
      </c>
      <c r="D153" s="73" t="s">
        <v>307</v>
      </c>
      <c r="E153" s="57">
        <v>0</v>
      </c>
      <c r="F153" s="57">
        <v>0</v>
      </c>
      <c r="G153" s="58">
        <f t="shared" si="699"/>
        <v>0</v>
      </c>
      <c r="H153" s="57">
        <v>0</v>
      </c>
      <c r="I153" s="59">
        <f t="shared" si="267"/>
        <v>0</v>
      </c>
      <c r="J153" s="59">
        <f t="shared" si="268"/>
        <v>0</v>
      </c>
      <c r="K153" s="60">
        <v>0</v>
      </c>
      <c r="L153" s="100">
        <v>399.56</v>
      </c>
      <c r="M153" s="100">
        <v>0</v>
      </c>
      <c r="N153" s="60">
        <v>0</v>
      </c>
      <c r="O153" s="61">
        <f t="shared" ref="O153:Q153" si="716">AA153+AD153+AG153+AJ153+AM153+AP153+AS153+AV153+AY153+BB153+BE153+BH153</f>
        <v>0</v>
      </c>
      <c r="P153" s="61">
        <f t="shared" si="716"/>
        <v>399.56</v>
      </c>
      <c r="Q153" s="61">
        <f t="shared" si="716"/>
        <v>0</v>
      </c>
      <c r="R153" s="61">
        <f t="shared" ref="R153:T153" si="717">IF(BK153=0,SUM(AA153+AD153+AG153+AJ153+AM153+AP153+AS153+AV153+AY153+BB153+BE153+BH153),BK153)</f>
        <v>0</v>
      </c>
      <c r="S153" s="61">
        <f t="shared" si="717"/>
        <v>399.56</v>
      </c>
      <c r="T153" s="61">
        <f t="shared" si="717"/>
        <v>0</v>
      </c>
      <c r="U153" s="63">
        <f t="shared" si="702"/>
        <v>0</v>
      </c>
      <c r="V153" s="63">
        <f t="shared" si="703"/>
        <v>0</v>
      </c>
      <c r="W153" s="208">
        <f t="shared" si="704"/>
        <v>0</v>
      </c>
      <c r="X153" s="64">
        <f t="shared" ref="X153:Y153" si="718">IF(O153&gt;0,O153/K153,0)</f>
        <v>0</v>
      </c>
      <c r="Y153" s="64">
        <f t="shared" si="718"/>
        <v>1</v>
      </c>
      <c r="Z153" s="64">
        <f t="shared" si="464"/>
        <v>0</v>
      </c>
      <c r="AA153" s="65"/>
      <c r="AB153" s="65">
        <f>192.32+207.24</f>
        <v>399.56</v>
      </c>
      <c r="AC153" s="65"/>
      <c r="AD153" s="65"/>
      <c r="AE153" s="66"/>
      <c r="AF153" s="66"/>
      <c r="AG153" s="66"/>
      <c r="AH153" s="66"/>
      <c r="AI153" s="65"/>
      <c r="AJ153" s="65"/>
      <c r="AK153" s="65"/>
      <c r="AL153" s="65"/>
      <c r="AM153" s="65"/>
      <c r="AN153" s="65"/>
      <c r="AO153" s="65"/>
      <c r="AP153" s="65"/>
      <c r="AQ153" s="65"/>
      <c r="AR153" s="65"/>
      <c r="AS153" s="65"/>
      <c r="AT153" s="65"/>
      <c r="AU153" s="65"/>
      <c r="AV153" s="65"/>
      <c r="AW153" s="65"/>
      <c r="AX153" s="65"/>
      <c r="AY153" s="65"/>
      <c r="AZ153" s="65"/>
      <c r="BA153" s="65"/>
      <c r="BB153" s="65"/>
      <c r="BC153" s="65"/>
      <c r="BD153" s="65"/>
      <c r="BE153" s="65"/>
      <c r="BF153" s="65"/>
      <c r="BG153" s="65"/>
      <c r="BH153" s="65"/>
      <c r="BI153" s="65"/>
      <c r="BJ153" s="65"/>
      <c r="BK153" s="65">
        <v>0</v>
      </c>
      <c r="BL153" s="65">
        <v>0</v>
      </c>
      <c r="BM153" s="65">
        <v>0</v>
      </c>
      <c r="BN153" s="65">
        <f t="shared" si="706"/>
        <v>0</v>
      </c>
      <c r="BO153" s="67">
        <f t="shared" si="707"/>
        <v>0</v>
      </c>
      <c r="BP153" s="65">
        <f t="shared" si="708"/>
        <v>0</v>
      </c>
      <c r="BQ153" s="65">
        <f t="shared" si="709"/>
        <v>0</v>
      </c>
      <c r="BR153" s="65">
        <f t="shared" si="710"/>
        <v>0</v>
      </c>
      <c r="BS153" s="65">
        <f t="shared" si="711"/>
        <v>0</v>
      </c>
      <c r="BT153" s="65">
        <f t="shared" si="712"/>
        <v>0</v>
      </c>
      <c r="BU153" s="65">
        <f t="shared" si="713"/>
        <v>0</v>
      </c>
      <c r="BV153" s="65">
        <f t="shared" si="714"/>
        <v>0</v>
      </c>
      <c r="BW153" s="65">
        <f t="shared" si="715"/>
        <v>0</v>
      </c>
      <c r="BX153" s="6"/>
      <c r="BY153" s="6"/>
      <c r="BZ153" s="6"/>
      <c r="CA153" s="6"/>
      <c r="CB153" s="6"/>
      <c r="CC153" s="6"/>
      <c r="CD153" s="6"/>
      <c r="CE153" s="6"/>
      <c r="CF153" s="6"/>
      <c r="CG153" s="6"/>
    </row>
    <row r="154" spans="1:85" ht="15.75">
      <c r="A154" s="217"/>
      <c r="B154" s="218"/>
      <c r="C154" s="219"/>
      <c r="D154" s="220" t="s">
        <v>264</v>
      </c>
      <c r="E154" s="213">
        <f t="shared" ref="E154:H154" si="719">SUM(E155)</f>
        <v>0</v>
      </c>
      <c r="F154" s="214">
        <f t="shared" si="719"/>
        <v>0</v>
      </c>
      <c r="G154" s="214">
        <f t="shared" si="719"/>
        <v>0</v>
      </c>
      <c r="H154" s="214">
        <f t="shared" si="719"/>
        <v>0</v>
      </c>
      <c r="I154" s="215">
        <f t="shared" si="267"/>
        <v>0</v>
      </c>
      <c r="J154" s="215">
        <f t="shared" si="268"/>
        <v>0</v>
      </c>
      <c r="K154" s="214">
        <f t="shared" ref="K154:W154" si="720">SUM(K155)</f>
        <v>0</v>
      </c>
      <c r="L154" s="214">
        <f t="shared" si="720"/>
        <v>0</v>
      </c>
      <c r="M154" s="214">
        <f t="shared" si="720"/>
        <v>0</v>
      </c>
      <c r="N154" s="214">
        <f t="shared" si="720"/>
        <v>1349</v>
      </c>
      <c r="O154" s="214">
        <f t="shared" si="720"/>
        <v>0</v>
      </c>
      <c r="P154" s="214">
        <f t="shared" si="720"/>
        <v>0</v>
      </c>
      <c r="Q154" s="214">
        <f t="shared" si="720"/>
        <v>0</v>
      </c>
      <c r="R154" s="214">
        <f t="shared" si="720"/>
        <v>0</v>
      </c>
      <c r="S154" s="214">
        <f t="shared" si="720"/>
        <v>0</v>
      </c>
      <c r="T154" s="214">
        <f t="shared" si="720"/>
        <v>0</v>
      </c>
      <c r="U154" s="214">
        <f t="shared" si="720"/>
        <v>0</v>
      </c>
      <c r="V154" s="214">
        <f t="shared" si="720"/>
        <v>0</v>
      </c>
      <c r="W154" s="214">
        <f t="shared" si="720"/>
        <v>1349</v>
      </c>
      <c r="X154" s="216">
        <f t="shared" ref="X154:Y154" si="721">IF(O154&gt;0,O154/K154,0)</f>
        <v>0</v>
      </c>
      <c r="Y154" s="216">
        <f t="shared" si="721"/>
        <v>0</v>
      </c>
      <c r="Z154" s="216">
        <f t="shared" si="464"/>
        <v>0</v>
      </c>
      <c r="AA154" s="214">
        <f t="shared" ref="AA154:BW154" si="722">SUM(AA155)</f>
        <v>0</v>
      </c>
      <c r="AB154" s="214">
        <f t="shared" si="722"/>
        <v>0</v>
      </c>
      <c r="AC154" s="214">
        <f t="shared" si="722"/>
        <v>0</v>
      </c>
      <c r="AD154" s="214">
        <f t="shared" si="722"/>
        <v>0</v>
      </c>
      <c r="AE154" s="214">
        <f t="shared" si="722"/>
        <v>0</v>
      </c>
      <c r="AF154" s="214">
        <f t="shared" si="722"/>
        <v>0</v>
      </c>
      <c r="AG154" s="214">
        <f t="shared" si="722"/>
        <v>0</v>
      </c>
      <c r="AH154" s="214">
        <f t="shared" si="722"/>
        <v>0</v>
      </c>
      <c r="AI154" s="214">
        <f t="shared" si="722"/>
        <v>0</v>
      </c>
      <c r="AJ154" s="214">
        <f t="shared" si="722"/>
        <v>0</v>
      </c>
      <c r="AK154" s="214">
        <f t="shared" si="722"/>
        <v>0</v>
      </c>
      <c r="AL154" s="214">
        <f t="shared" si="722"/>
        <v>0</v>
      </c>
      <c r="AM154" s="214">
        <f t="shared" si="722"/>
        <v>0</v>
      </c>
      <c r="AN154" s="214">
        <f t="shared" si="722"/>
        <v>0</v>
      </c>
      <c r="AO154" s="214">
        <f t="shared" si="722"/>
        <v>0</v>
      </c>
      <c r="AP154" s="214">
        <f t="shared" si="722"/>
        <v>0</v>
      </c>
      <c r="AQ154" s="214">
        <f t="shared" si="722"/>
        <v>0</v>
      </c>
      <c r="AR154" s="214">
        <f t="shared" si="722"/>
        <v>0</v>
      </c>
      <c r="AS154" s="214">
        <f t="shared" si="722"/>
        <v>0</v>
      </c>
      <c r="AT154" s="214">
        <f t="shared" si="722"/>
        <v>0</v>
      </c>
      <c r="AU154" s="214">
        <f t="shared" si="722"/>
        <v>0</v>
      </c>
      <c r="AV154" s="214">
        <f t="shared" si="722"/>
        <v>0</v>
      </c>
      <c r="AW154" s="214">
        <f t="shared" si="722"/>
        <v>0</v>
      </c>
      <c r="AX154" s="214">
        <f t="shared" si="722"/>
        <v>0</v>
      </c>
      <c r="AY154" s="214">
        <f t="shared" si="722"/>
        <v>0</v>
      </c>
      <c r="AZ154" s="214">
        <f t="shared" si="722"/>
        <v>0</v>
      </c>
      <c r="BA154" s="214">
        <f t="shared" si="722"/>
        <v>0</v>
      </c>
      <c r="BB154" s="214">
        <f t="shared" si="722"/>
        <v>0</v>
      </c>
      <c r="BC154" s="214">
        <f t="shared" si="722"/>
        <v>0</v>
      </c>
      <c r="BD154" s="214">
        <f t="shared" si="722"/>
        <v>0</v>
      </c>
      <c r="BE154" s="214">
        <f t="shared" si="722"/>
        <v>0</v>
      </c>
      <c r="BF154" s="214">
        <f t="shared" si="722"/>
        <v>0</v>
      </c>
      <c r="BG154" s="214">
        <f t="shared" si="722"/>
        <v>0</v>
      </c>
      <c r="BH154" s="214">
        <f t="shared" si="722"/>
        <v>0</v>
      </c>
      <c r="BI154" s="214">
        <f t="shared" si="722"/>
        <v>0</v>
      </c>
      <c r="BJ154" s="214">
        <f t="shared" si="722"/>
        <v>0</v>
      </c>
      <c r="BK154" s="214">
        <f t="shared" si="722"/>
        <v>0</v>
      </c>
      <c r="BL154" s="214">
        <f t="shared" si="722"/>
        <v>0</v>
      </c>
      <c r="BM154" s="214">
        <f t="shared" si="722"/>
        <v>0</v>
      </c>
      <c r="BN154" s="214">
        <f t="shared" si="722"/>
        <v>0</v>
      </c>
      <c r="BO154" s="214">
        <f t="shared" si="722"/>
        <v>0</v>
      </c>
      <c r="BP154" s="214">
        <f t="shared" si="722"/>
        <v>0</v>
      </c>
      <c r="BQ154" s="214">
        <f t="shared" si="722"/>
        <v>0</v>
      </c>
      <c r="BR154" s="214">
        <f t="shared" si="722"/>
        <v>1349</v>
      </c>
      <c r="BS154" s="214">
        <f t="shared" si="722"/>
        <v>1349</v>
      </c>
      <c r="BT154" s="214">
        <f t="shared" si="722"/>
        <v>0</v>
      </c>
      <c r="BU154" s="214">
        <f t="shared" si="722"/>
        <v>0</v>
      </c>
      <c r="BV154" s="214">
        <f t="shared" si="722"/>
        <v>1349</v>
      </c>
      <c r="BW154" s="214">
        <f t="shared" si="722"/>
        <v>1349</v>
      </c>
      <c r="BX154" s="51"/>
      <c r="BY154" s="51"/>
      <c r="BZ154" s="51"/>
      <c r="CA154" s="51"/>
      <c r="CB154" s="51"/>
      <c r="CC154" s="51"/>
      <c r="CD154" s="51"/>
      <c r="CE154" s="51"/>
      <c r="CF154" s="51"/>
      <c r="CG154" s="51"/>
    </row>
    <row r="155" spans="1:85" ht="15.75">
      <c r="A155" s="221" t="s">
        <v>308</v>
      </c>
      <c r="B155" s="169"/>
      <c r="C155" s="104" t="s">
        <v>309</v>
      </c>
      <c r="D155" s="105" t="s">
        <v>310</v>
      </c>
      <c r="E155" s="57">
        <v>0</v>
      </c>
      <c r="F155" s="57">
        <v>0</v>
      </c>
      <c r="G155" s="58">
        <f>E155-F155</f>
        <v>0</v>
      </c>
      <c r="H155" s="57">
        <v>0</v>
      </c>
      <c r="I155" s="59">
        <f t="shared" si="267"/>
        <v>0</v>
      </c>
      <c r="J155" s="59">
        <f t="shared" si="268"/>
        <v>0</v>
      </c>
      <c r="K155" s="74"/>
      <c r="L155" s="74">
        <v>0</v>
      </c>
      <c r="M155" s="74">
        <v>0</v>
      </c>
      <c r="N155" s="74">
        <v>1349</v>
      </c>
      <c r="O155" s="61">
        <f t="shared" ref="O155:Q155" si="723">AA155+AD155+AG155+AJ155+AM155+AP155+AS155+AV155+AY155+BB155+BE155+BH155</f>
        <v>0</v>
      </c>
      <c r="P155" s="61">
        <f t="shared" si="723"/>
        <v>0</v>
      </c>
      <c r="Q155" s="61">
        <f t="shared" si="723"/>
        <v>0</v>
      </c>
      <c r="R155" s="61">
        <f t="shared" ref="R155:T155" si="724">IF(BK155=0,SUM(AA155+AD155+AG155+AJ155+AM155+AP155+AS155+AV155+AY155+BB155+BE155+BH155),BK155)</f>
        <v>0</v>
      </c>
      <c r="S155" s="61">
        <f t="shared" si="724"/>
        <v>0</v>
      </c>
      <c r="T155" s="61">
        <f t="shared" si="724"/>
        <v>0</v>
      </c>
      <c r="U155" s="63">
        <f>K155-O155</f>
        <v>0</v>
      </c>
      <c r="V155" s="63">
        <f>L155-M155-S155</f>
        <v>0</v>
      </c>
      <c r="W155" s="222">
        <f>N155-Q155</f>
        <v>1349</v>
      </c>
      <c r="X155" s="64">
        <f t="shared" ref="X155:Y155" si="725">IF(O155&gt;0,O155/K155,0)</f>
        <v>0</v>
      </c>
      <c r="Y155" s="64">
        <f t="shared" si="725"/>
        <v>0</v>
      </c>
      <c r="Z155" s="64">
        <f t="shared" si="464"/>
        <v>0</v>
      </c>
      <c r="AA155" s="65"/>
      <c r="AB155" s="65"/>
      <c r="AC155" s="65"/>
      <c r="AD155" s="65"/>
      <c r="AE155" s="66"/>
      <c r="AF155" s="66"/>
      <c r="AG155" s="66"/>
      <c r="AH155" s="66"/>
      <c r="AI155" s="65"/>
      <c r="AJ155" s="65"/>
      <c r="AK155" s="65"/>
      <c r="AL155" s="65"/>
      <c r="AM155" s="65"/>
      <c r="AN155" s="65"/>
      <c r="AO155" s="65"/>
      <c r="AP155" s="65"/>
      <c r="AQ155" s="65"/>
      <c r="AR155" s="65"/>
      <c r="AS155" s="65"/>
      <c r="AT155" s="65"/>
      <c r="AU155" s="65"/>
      <c r="AV155" s="65"/>
      <c r="AW155" s="65"/>
      <c r="AX155" s="65"/>
      <c r="AY155" s="65"/>
      <c r="AZ155" s="65"/>
      <c r="BA155" s="65"/>
      <c r="BB155" s="65"/>
      <c r="BC155" s="65"/>
      <c r="BD155" s="65"/>
      <c r="BE155" s="65"/>
      <c r="BF155" s="65"/>
      <c r="BG155" s="65"/>
      <c r="BH155" s="65"/>
      <c r="BI155" s="65"/>
      <c r="BJ155" s="65"/>
      <c r="BK155" s="65">
        <v>0</v>
      </c>
      <c r="BL155" s="65">
        <v>0</v>
      </c>
      <c r="BM155" s="65">
        <v>0</v>
      </c>
      <c r="BN155" s="65">
        <f>IF(O155-BK155&gt;0,O155-BK155,0)</f>
        <v>0</v>
      </c>
      <c r="BO155" s="67">
        <f>IF(Q155-BM155&gt;0,Q155-BM155,0)</f>
        <v>0</v>
      </c>
      <c r="BP155" s="65">
        <f>IF(BN155+BO155&gt;0,BN155+BO155,0)</f>
        <v>0</v>
      </c>
      <c r="BQ155" s="65">
        <f>IF(U155=0,0,U155)</f>
        <v>0</v>
      </c>
      <c r="BR155" s="65">
        <f>IF(W155=0,0,W155)</f>
        <v>1349</v>
      </c>
      <c r="BS155" s="65">
        <f>IF(BQ155+BR155&gt;0,BQ155+BR155,0)</f>
        <v>1349</v>
      </c>
      <c r="BT155" s="65">
        <f>IF(V155&gt;0,V155,0)</f>
        <v>0</v>
      </c>
      <c r="BU155" s="65">
        <f>IF(BP155=0,0,BP155)</f>
        <v>0</v>
      </c>
      <c r="BV155" s="65">
        <f>IF(BS155=0,0,BS155)</f>
        <v>1349</v>
      </c>
      <c r="BW155" s="65">
        <f>IF(BP155+BT155+BV155&gt;0,BP155+BT155+BV155,0)</f>
        <v>1349</v>
      </c>
      <c r="BX155" s="223"/>
      <c r="BY155" s="223"/>
      <c r="BZ155" s="223"/>
      <c r="CA155" s="223"/>
      <c r="CB155" s="223"/>
      <c r="CC155" s="223"/>
      <c r="CD155" s="223"/>
      <c r="CE155" s="223"/>
      <c r="CF155" s="223"/>
      <c r="CG155" s="223"/>
    </row>
    <row r="156" spans="1:85" ht="15.75" customHeight="1">
      <c r="A156" s="224"/>
      <c r="B156" s="225"/>
      <c r="C156" s="226"/>
      <c r="D156" s="227"/>
      <c r="E156" s="228"/>
      <c r="F156" s="228"/>
      <c r="G156" s="228"/>
      <c r="H156" s="228"/>
      <c r="I156" s="229"/>
      <c r="J156" s="229"/>
      <c r="K156" s="228"/>
      <c r="L156" s="230"/>
      <c r="M156" s="230"/>
      <c r="N156" s="228"/>
      <c r="O156" s="230"/>
      <c r="P156" s="230"/>
      <c r="Q156" s="230"/>
      <c r="R156" s="230"/>
      <c r="S156" s="230"/>
      <c r="T156" s="230"/>
      <c r="U156" s="228"/>
      <c r="V156" s="228"/>
      <c r="W156" s="230"/>
      <c r="X156" s="231"/>
      <c r="Y156" s="231"/>
      <c r="Z156" s="231"/>
      <c r="AA156" s="230"/>
      <c r="AB156" s="230"/>
      <c r="AC156" s="230"/>
      <c r="AD156" s="230"/>
      <c r="AE156" s="230"/>
      <c r="AF156" s="230"/>
      <c r="AG156" s="230"/>
      <c r="AH156" s="230"/>
      <c r="AI156" s="230"/>
      <c r="AJ156" s="230"/>
      <c r="AK156" s="230"/>
      <c r="AL156" s="230"/>
      <c r="AM156" s="230"/>
      <c r="AN156" s="230"/>
      <c r="AO156" s="230"/>
      <c r="AP156" s="230"/>
      <c r="AQ156" s="230"/>
      <c r="AR156" s="230"/>
      <c r="AS156" s="230"/>
      <c r="AT156" s="230"/>
      <c r="AU156" s="230"/>
      <c r="AV156" s="230"/>
      <c r="AW156" s="230"/>
      <c r="AX156" s="230"/>
      <c r="AY156" s="230"/>
      <c r="AZ156" s="230"/>
      <c r="BA156" s="230"/>
      <c r="BB156" s="230"/>
      <c r="BC156" s="230"/>
      <c r="BD156" s="230"/>
      <c r="BE156" s="230"/>
      <c r="BF156" s="230"/>
      <c r="BG156" s="230"/>
      <c r="BH156" s="230"/>
      <c r="BI156" s="230"/>
      <c r="BJ156" s="230"/>
      <c r="BK156" s="230"/>
      <c r="BL156" s="230"/>
      <c r="BM156" s="230"/>
      <c r="BN156" s="230"/>
      <c r="BO156" s="230"/>
      <c r="BP156" s="230"/>
      <c r="BQ156" s="230"/>
      <c r="BR156" s="230"/>
      <c r="BS156" s="230"/>
      <c r="BT156" s="230"/>
      <c r="BU156" s="230"/>
      <c r="BV156" s="230"/>
      <c r="BW156" s="230"/>
      <c r="BX156" s="6"/>
      <c r="BY156" s="6"/>
      <c r="BZ156" s="6"/>
      <c r="CA156" s="6"/>
      <c r="CB156" s="6"/>
      <c r="CC156" s="6"/>
      <c r="CD156" s="6"/>
      <c r="CE156" s="6"/>
      <c r="CF156" s="6"/>
      <c r="CG156" s="6"/>
    </row>
    <row r="157" spans="1:85" ht="15.75" customHeight="1">
      <c r="A157" s="28" t="s">
        <v>311</v>
      </c>
      <c r="B157" s="29" t="s">
        <v>312</v>
      </c>
      <c r="C157" s="232"/>
      <c r="D157" s="30"/>
      <c r="E157" s="31">
        <f t="shared" ref="E157:H157" si="726">E158+E175+E186+E196+E206+E237+E250</f>
        <v>275926.01</v>
      </c>
      <c r="F157" s="31">
        <f t="shared" si="726"/>
        <v>0</v>
      </c>
      <c r="G157" s="31">
        <f t="shared" si="726"/>
        <v>275926.01</v>
      </c>
      <c r="H157" s="31">
        <f t="shared" si="726"/>
        <v>250000</v>
      </c>
      <c r="I157" s="94">
        <f>K157/G157</f>
        <v>0.43787358067476134</v>
      </c>
      <c r="J157" s="94">
        <f>O157/G157</f>
        <v>0.10489029287235371</v>
      </c>
      <c r="K157" s="33">
        <f t="shared" ref="K157:W157" si="727">K158+K175+K186+K196+K206+K237+K250</f>
        <v>120820.71</v>
      </c>
      <c r="L157" s="33">
        <f t="shared" si="727"/>
        <v>274211.67</v>
      </c>
      <c r="M157" s="33">
        <f t="shared" si="727"/>
        <v>0</v>
      </c>
      <c r="N157" s="33">
        <f t="shared" si="727"/>
        <v>86007</v>
      </c>
      <c r="O157" s="33">
        <f t="shared" si="727"/>
        <v>28941.96</v>
      </c>
      <c r="P157" s="33">
        <f t="shared" si="727"/>
        <v>237815.66999999998</v>
      </c>
      <c r="Q157" s="33">
        <f t="shared" si="727"/>
        <v>86007</v>
      </c>
      <c r="R157" s="33">
        <f t="shared" si="727"/>
        <v>28941.96</v>
      </c>
      <c r="S157" s="33">
        <f t="shared" si="727"/>
        <v>237815.66999999998</v>
      </c>
      <c r="T157" s="33">
        <f t="shared" si="727"/>
        <v>86007</v>
      </c>
      <c r="U157" s="33">
        <f t="shared" si="727"/>
        <v>91878.749999999985</v>
      </c>
      <c r="V157" s="33">
        <f t="shared" si="727"/>
        <v>36396</v>
      </c>
      <c r="W157" s="33">
        <f t="shared" si="727"/>
        <v>0</v>
      </c>
      <c r="X157" s="32">
        <f t="shared" ref="X157:Y157" si="728">IF(O157&gt;0,O157/K157,0)</f>
        <v>0.23954469395188951</v>
      </c>
      <c r="Y157" s="32">
        <f t="shared" si="728"/>
        <v>0.86727041923489256</v>
      </c>
      <c r="Z157" s="32">
        <f t="shared" ref="Z157:Z178" si="729">IF(Q157&gt;0,Q157/N157,0)</f>
        <v>1</v>
      </c>
      <c r="AA157" s="33">
        <f t="shared" ref="AA157:BW157" si="730">AA158+AA175+AA186+AA196+AA206+AA237+AA250</f>
        <v>0</v>
      </c>
      <c r="AB157" s="33">
        <f t="shared" si="730"/>
        <v>222867.62999999998</v>
      </c>
      <c r="AC157" s="33">
        <f t="shared" si="730"/>
        <v>0</v>
      </c>
      <c r="AD157" s="33">
        <f t="shared" si="730"/>
        <v>0</v>
      </c>
      <c r="AE157" s="33">
        <f t="shared" si="730"/>
        <v>7282.52</v>
      </c>
      <c r="AF157" s="33">
        <f t="shared" si="730"/>
        <v>0</v>
      </c>
      <c r="AG157" s="33">
        <f t="shared" si="730"/>
        <v>6076.9899999999989</v>
      </c>
      <c r="AH157" s="33">
        <f t="shared" si="730"/>
        <v>554.52</v>
      </c>
      <c r="AI157" s="33">
        <f t="shared" si="730"/>
        <v>40377</v>
      </c>
      <c r="AJ157" s="33">
        <f t="shared" si="730"/>
        <v>7603.83</v>
      </c>
      <c r="AK157" s="33">
        <f t="shared" si="730"/>
        <v>0</v>
      </c>
      <c r="AL157" s="33">
        <f t="shared" si="730"/>
        <v>0</v>
      </c>
      <c r="AM157" s="33">
        <f t="shared" si="730"/>
        <v>7161.7</v>
      </c>
      <c r="AN157" s="33">
        <f t="shared" si="730"/>
        <v>0</v>
      </c>
      <c r="AO157" s="33">
        <f t="shared" si="730"/>
        <v>45630</v>
      </c>
      <c r="AP157" s="33">
        <f t="shared" si="730"/>
        <v>8099.4400000000005</v>
      </c>
      <c r="AQ157" s="33">
        <f t="shared" si="730"/>
        <v>7111</v>
      </c>
      <c r="AR157" s="33">
        <f t="shared" si="730"/>
        <v>0</v>
      </c>
      <c r="AS157" s="33">
        <f t="shared" si="730"/>
        <v>0</v>
      </c>
      <c r="AT157" s="33">
        <f t="shared" si="730"/>
        <v>0</v>
      </c>
      <c r="AU157" s="33">
        <f t="shared" si="730"/>
        <v>0</v>
      </c>
      <c r="AV157" s="33">
        <f t="shared" si="730"/>
        <v>0</v>
      </c>
      <c r="AW157" s="33">
        <f t="shared" si="730"/>
        <v>0</v>
      </c>
      <c r="AX157" s="33">
        <f t="shared" si="730"/>
        <v>0</v>
      </c>
      <c r="AY157" s="33">
        <f t="shared" si="730"/>
        <v>0</v>
      </c>
      <c r="AZ157" s="33">
        <f t="shared" si="730"/>
        <v>0</v>
      </c>
      <c r="BA157" s="33">
        <f t="shared" si="730"/>
        <v>0</v>
      </c>
      <c r="BB157" s="33">
        <f t="shared" si="730"/>
        <v>0</v>
      </c>
      <c r="BC157" s="33">
        <f t="shared" si="730"/>
        <v>0</v>
      </c>
      <c r="BD157" s="33">
        <f t="shared" si="730"/>
        <v>0</v>
      </c>
      <c r="BE157" s="33">
        <f t="shared" si="730"/>
        <v>0</v>
      </c>
      <c r="BF157" s="33">
        <f t="shared" si="730"/>
        <v>0</v>
      </c>
      <c r="BG157" s="33">
        <f t="shared" si="730"/>
        <v>0</v>
      </c>
      <c r="BH157" s="33">
        <f t="shared" si="730"/>
        <v>0</v>
      </c>
      <c r="BI157" s="33">
        <f t="shared" si="730"/>
        <v>0</v>
      </c>
      <c r="BJ157" s="33">
        <f t="shared" si="730"/>
        <v>0</v>
      </c>
      <c r="BK157" s="33">
        <f t="shared" si="730"/>
        <v>0</v>
      </c>
      <c r="BL157" s="33">
        <f t="shared" si="730"/>
        <v>0</v>
      </c>
      <c r="BM157" s="33">
        <f t="shared" si="730"/>
        <v>0</v>
      </c>
      <c r="BN157" s="33">
        <f t="shared" si="730"/>
        <v>28941.96</v>
      </c>
      <c r="BO157" s="33">
        <f t="shared" si="730"/>
        <v>86007</v>
      </c>
      <c r="BP157" s="33">
        <f t="shared" si="730"/>
        <v>114948.95999999999</v>
      </c>
      <c r="BQ157" s="33">
        <f t="shared" si="730"/>
        <v>91878.749999999985</v>
      </c>
      <c r="BR157" s="33">
        <f t="shared" si="730"/>
        <v>0</v>
      </c>
      <c r="BS157" s="33">
        <f t="shared" si="730"/>
        <v>91878.749999999985</v>
      </c>
      <c r="BT157" s="33">
        <f t="shared" si="730"/>
        <v>36396</v>
      </c>
      <c r="BU157" s="33">
        <f t="shared" si="730"/>
        <v>114948.95999999999</v>
      </c>
      <c r="BV157" s="33">
        <f t="shared" si="730"/>
        <v>91878.749999999985</v>
      </c>
      <c r="BW157" s="33">
        <f t="shared" si="730"/>
        <v>243223.71000000002</v>
      </c>
      <c r="BX157" s="6"/>
      <c r="BY157" s="6"/>
      <c r="BZ157" s="6"/>
      <c r="CA157" s="6"/>
      <c r="CB157" s="6"/>
      <c r="CC157" s="6"/>
      <c r="CD157" s="6"/>
      <c r="CE157" s="6"/>
      <c r="CF157" s="6"/>
      <c r="CG157" s="6"/>
    </row>
    <row r="158" spans="1:85" ht="15.75" customHeight="1">
      <c r="A158" s="233"/>
      <c r="B158" s="234"/>
      <c r="C158" s="235"/>
      <c r="D158" s="236" t="s">
        <v>66</v>
      </c>
      <c r="E158" s="38">
        <f t="shared" ref="E158:H158" si="731">E159+E162+E166</f>
        <v>41358.080000000002</v>
      </c>
      <c r="F158" s="38">
        <f t="shared" si="731"/>
        <v>0</v>
      </c>
      <c r="G158" s="38">
        <f t="shared" si="731"/>
        <v>41358.080000000002</v>
      </c>
      <c r="H158" s="38">
        <f t="shared" si="731"/>
        <v>0</v>
      </c>
      <c r="I158" s="39">
        <f t="shared" ref="I158:I269" si="732">IF(G158&gt;0,K158/G158,0)</f>
        <v>4.8358144285227937E-2</v>
      </c>
      <c r="J158" s="39">
        <f t="shared" ref="J158:J269" si="733">IF(G158&gt;0,O158/G158,0)</f>
        <v>3.2459437188573553E-2</v>
      </c>
      <c r="K158" s="38">
        <f t="shared" ref="K158:W158" si="734">K159+K162+K166</f>
        <v>2000</v>
      </c>
      <c r="L158" s="38">
        <f t="shared" si="734"/>
        <v>210853.11</v>
      </c>
      <c r="M158" s="38">
        <f t="shared" si="734"/>
        <v>0</v>
      </c>
      <c r="N158" s="38">
        <f t="shared" si="734"/>
        <v>0</v>
      </c>
      <c r="O158" s="38">
        <f t="shared" si="734"/>
        <v>1342.46</v>
      </c>
      <c r="P158" s="38">
        <f t="shared" si="734"/>
        <v>210853.11</v>
      </c>
      <c r="Q158" s="38">
        <f t="shared" si="734"/>
        <v>0</v>
      </c>
      <c r="R158" s="38">
        <f t="shared" si="734"/>
        <v>1342.46</v>
      </c>
      <c r="S158" s="38">
        <f t="shared" si="734"/>
        <v>210853.11</v>
      </c>
      <c r="T158" s="38">
        <f t="shared" si="734"/>
        <v>0</v>
      </c>
      <c r="U158" s="38">
        <f t="shared" si="734"/>
        <v>657.54</v>
      </c>
      <c r="V158" s="38">
        <f t="shared" si="734"/>
        <v>0</v>
      </c>
      <c r="W158" s="38">
        <f t="shared" si="734"/>
        <v>0</v>
      </c>
      <c r="X158" s="40">
        <f t="shared" ref="X158:Y158" si="735">IF(O158&gt;0,O158/K158,0)</f>
        <v>0.67122999999999999</v>
      </c>
      <c r="Y158" s="40">
        <f t="shared" si="735"/>
        <v>1</v>
      </c>
      <c r="Z158" s="40">
        <f t="shared" si="729"/>
        <v>0</v>
      </c>
      <c r="AA158" s="38">
        <f t="shared" ref="AA158:BW158" si="736">AA159+AA162+AA166</f>
        <v>0</v>
      </c>
      <c r="AB158" s="38">
        <f t="shared" si="736"/>
        <v>210853.11</v>
      </c>
      <c r="AC158" s="38">
        <f t="shared" si="736"/>
        <v>0</v>
      </c>
      <c r="AD158" s="38">
        <f t="shared" si="736"/>
        <v>0</v>
      </c>
      <c r="AE158" s="38">
        <f t="shared" si="736"/>
        <v>0</v>
      </c>
      <c r="AF158" s="38">
        <f t="shared" si="736"/>
        <v>0</v>
      </c>
      <c r="AG158" s="38">
        <f t="shared" si="736"/>
        <v>149.69</v>
      </c>
      <c r="AH158" s="38">
        <f t="shared" si="736"/>
        <v>0</v>
      </c>
      <c r="AI158" s="38">
        <f t="shared" si="736"/>
        <v>0</v>
      </c>
      <c r="AJ158" s="38">
        <f t="shared" si="736"/>
        <v>409.71</v>
      </c>
      <c r="AK158" s="38">
        <f t="shared" si="736"/>
        <v>0</v>
      </c>
      <c r="AL158" s="38">
        <f t="shared" si="736"/>
        <v>0</v>
      </c>
      <c r="AM158" s="38">
        <f t="shared" si="736"/>
        <v>0</v>
      </c>
      <c r="AN158" s="38">
        <f t="shared" si="736"/>
        <v>0</v>
      </c>
      <c r="AO158" s="38">
        <f t="shared" si="736"/>
        <v>0</v>
      </c>
      <c r="AP158" s="38">
        <f t="shared" si="736"/>
        <v>783.06</v>
      </c>
      <c r="AQ158" s="38">
        <f t="shared" si="736"/>
        <v>0</v>
      </c>
      <c r="AR158" s="38">
        <f t="shared" si="736"/>
        <v>0</v>
      </c>
      <c r="AS158" s="38">
        <f t="shared" si="736"/>
        <v>0</v>
      </c>
      <c r="AT158" s="38">
        <f t="shared" si="736"/>
        <v>0</v>
      </c>
      <c r="AU158" s="38">
        <f t="shared" si="736"/>
        <v>0</v>
      </c>
      <c r="AV158" s="38">
        <f t="shared" si="736"/>
        <v>0</v>
      </c>
      <c r="AW158" s="38">
        <f t="shared" si="736"/>
        <v>0</v>
      </c>
      <c r="AX158" s="38">
        <f t="shared" si="736"/>
        <v>0</v>
      </c>
      <c r="AY158" s="38">
        <f t="shared" si="736"/>
        <v>0</v>
      </c>
      <c r="AZ158" s="38">
        <f t="shared" si="736"/>
        <v>0</v>
      </c>
      <c r="BA158" s="38">
        <f t="shared" si="736"/>
        <v>0</v>
      </c>
      <c r="BB158" s="38">
        <f t="shared" si="736"/>
        <v>0</v>
      </c>
      <c r="BC158" s="38">
        <f t="shared" si="736"/>
        <v>0</v>
      </c>
      <c r="BD158" s="38">
        <f t="shared" si="736"/>
        <v>0</v>
      </c>
      <c r="BE158" s="38">
        <f t="shared" si="736"/>
        <v>0</v>
      </c>
      <c r="BF158" s="38">
        <f t="shared" si="736"/>
        <v>0</v>
      </c>
      <c r="BG158" s="38">
        <f t="shared" si="736"/>
        <v>0</v>
      </c>
      <c r="BH158" s="38">
        <f t="shared" si="736"/>
        <v>0</v>
      </c>
      <c r="BI158" s="38">
        <f t="shared" si="736"/>
        <v>0</v>
      </c>
      <c r="BJ158" s="38">
        <f t="shared" si="736"/>
        <v>0</v>
      </c>
      <c r="BK158" s="38">
        <f t="shared" si="736"/>
        <v>0</v>
      </c>
      <c r="BL158" s="38">
        <f t="shared" si="736"/>
        <v>0</v>
      </c>
      <c r="BM158" s="38">
        <f t="shared" si="736"/>
        <v>0</v>
      </c>
      <c r="BN158" s="38">
        <f t="shared" si="736"/>
        <v>1342.46</v>
      </c>
      <c r="BO158" s="38">
        <f t="shared" si="736"/>
        <v>0</v>
      </c>
      <c r="BP158" s="38">
        <f t="shared" si="736"/>
        <v>1342.46</v>
      </c>
      <c r="BQ158" s="38">
        <f t="shared" si="736"/>
        <v>657.54</v>
      </c>
      <c r="BR158" s="38">
        <f t="shared" si="736"/>
        <v>0</v>
      </c>
      <c r="BS158" s="38">
        <f t="shared" si="736"/>
        <v>657.54</v>
      </c>
      <c r="BT158" s="38">
        <f t="shared" si="736"/>
        <v>0</v>
      </c>
      <c r="BU158" s="38">
        <f t="shared" si="736"/>
        <v>1342.46</v>
      </c>
      <c r="BV158" s="38">
        <f t="shared" si="736"/>
        <v>657.54</v>
      </c>
      <c r="BW158" s="38">
        <f t="shared" si="736"/>
        <v>2000</v>
      </c>
      <c r="BX158" s="6"/>
      <c r="BY158" s="6"/>
      <c r="BZ158" s="6"/>
      <c r="CA158" s="6"/>
      <c r="CB158" s="6"/>
      <c r="CC158" s="6"/>
      <c r="CD158" s="6"/>
      <c r="CE158" s="6"/>
      <c r="CF158" s="6"/>
      <c r="CG158" s="6"/>
    </row>
    <row r="159" spans="1:85" ht="15.75">
      <c r="A159" s="75"/>
      <c r="B159" s="76"/>
      <c r="C159" s="77"/>
      <c r="D159" s="78" t="s">
        <v>67</v>
      </c>
      <c r="E159" s="45">
        <f t="shared" ref="E159:H159" si="737">SUM(E160:E161)</f>
        <v>12973.08</v>
      </c>
      <c r="F159" s="46">
        <f t="shared" si="737"/>
        <v>0</v>
      </c>
      <c r="G159" s="46">
        <f t="shared" si="737"/>
        <v>12973.08</v>
      </c>
      <c r="H159" s="46">
        <f t="shared" si="737"/>
        <v>0</v>
      </c>
      <c r="I159" s="47">
        <f t="shared" si="732"/>
        <v>0.15416539480215954</v>
      </c>
      <c r="J159" s="47">
        <f t="shared" si="733"/>
        <v>0.10348043795305356</v>
      </c>
      <c r="K159" s="46">
        <f t="shared" ref="K159:W159" si="738">SUM(K160:K161)</f>
        <v>2000</v>
      </c>
      <c r="L159" s="46">
        <f t="shared" si="738"/>
        <v>0</v>
      </c>
      <c r="M159" s="46">
        <f t="shared" si="738"/>
        <v>0</v>
      </c>
      <c r="N159" s="46">
        <f t="shared" si="738"/>
        <v>0</v>
      </c>
      <c r="O159" s="46">
        <f t="shared" si="738"/>
        <v>1342.46</v>
      </c>
      <c r="P159" s="46">
        <f t="shared" si="738"/>
        <v>0</v>
      </c>
      <c r="Q159" s="46">
        <f t="shared" si="738"/>
        <v>0</v>
      </c>
      <c r="R159" s="46">
        <f t="shared" si="738"/>
        <v>1342.46</v>
      </c>
      <c r="S159" s="46">
        <f t="shared" si="738"/>
        <v>0</v>
      </c>
      <c r="T159" s="46">
        <f t="shared" si="738"/>
        <v>0</v>
      </c>
      <c r="U159" s="46">
        <f t="shared" si="738"/>
        <v>657.54</v>
      </c>
      <c r="V159" s="46">
        <f t="shared" si="738"/>
        <v>0</v>
      </c>
      <c r="W159" s="46">
        <f t="shared" si="738"/>
        <v>0</v>
      </c>
      <c r="X159" s="50">
        <f t="shared" ref="X159:Y159" si="739">IF(O159&gt;0,O159/K159,0)</f>
        <v>0.67122999999999999</v>
      </c>
      <c r="Y159" s="50">
        <f t="shared" si="739"/>
        <v>0</v>
      </c>
      <c r="Z159" s="50">
        <f t="shared" si="729"/>
        <v>0</v>
      </c>
      <c r="AA159" s="46">
        <f t="shared" ref="AA159:BW159" si="740">SUM(AA160:AA161)</f>
        <v>0</v>
      </c>
      <c r="AB159" s="46">
        <f t="shared" si="740"/>
        <v>0</v>
      </c>
      <c r="AC159" s="46">
        <f t="shared" si="740"/>
        <v>0</v>
      </c>
      <c r="AD159" s="46">
        <f t="shared" si="740"/>
        <v>0</v>
      </c>
      <c r="AE159" s="46">
        <f t="shared" si="740"/>
        <v>0</v>
      </c>
      <c r="AF159" s="46">
        <f t="shared" si="740"/>
        <v>0</v>
      </c>
      <c r="AG159" s="46">
        <f t="shared" si="740"/>
        <v>149.69</v>
      </c>
      <c r="AH159" s="46">
        <f t="shared" si="740"/>
        <v>0</v>
      </c>
      <c r="AI159" s="46">
        <f t="shared" si="740"/>
        <v>0</v>
      </c>
      <c r="AJ159" s="46">
        <f t="shared" si="740"/>
        <v>409.71</v>
      </c>
      <c r="AK159" s="46">
        <f t="shared" si="740"/>
        <v>0</v>
      </c>
      <c r="AL159" s="46">
        <f t="shared" si="740"/>
        <v>0</v>
      </c>
      <c r="AM159" s="46">
        <f t="shared" si="740"/>
        <v>0</v>
      </c>
      <c r="AN159" s="46">
        <f t="shared" si="740"/>
        <v>0</v>
      </c>
      <c r="AO159" s="46">
        <f t="shared" si="740"/>
        <v>0</v>
      </c>
      <c r="AP159" s="46">
        <f t="shared" si="740"/>
        <v>783.06</v>
      </c>
      <c r="AQ159" s="46">
        <f t="shared" si="740"/>
        <v>0</v>
      </c>
      <c r="AR159" s="46">
        <f t="shared" si="740"/>
        <v>0</v>
      </c>
      <c r="AS159" s="46">
        <f t="shared" si="740"/>
        <v>0</v>
      </c>
      <c r="AT159" s="46">
        <f t="shared" si="740"/>
        <v>0</v>
      </c>
      <c r="AU159" s="46">
        <f t="shared" si="740"/>
        <v>0</v>
      </c>
      <c r="AV159" s="46">
        <f t="shared" si="740"/>
        <v>0</v>
      </c>
      <c r="AW159" s="46">
        <f t="shared" si="740"/>
        <v>0</v>
      </c>
      <c r="AX159" s="46">
        <f t="shared" si="740"/>
        <v>0</v>
      </c>
      <c r="AY159" s="46">
        <f t="shared" si="740"/>
        <v>0</v>
      </c>
      <c r="AZ159" s="46">
        <f t="shared" si="740"/>
        <v>0</v>
      </c>
      <c r="BA159" s="46">
        <f t="shared" si="740"/>
        <v>0</v>
      </c>
      <c r="BB159" s="46">
        <f t="shared" si="740"/>
        <v>0</v>
      </c>
      <c r="BC159" s="46">
        <f t="shared" si="740"/>
        <v>0</v>
      </c>
      <c r="BD159" s="46">
        <f t="shared" si="740"/>
        <v>0</v>
      </c>
      <c r="BE159" s="46">
        <f t="shared" si="740"/>
        <v>0</v>
      </c>
      <c r="BF159" s="46">
        <f t="shared" si="740"/>
        <v>0</v>
      </c>
      <c r="BG159" s="46">
        <f t="shared" si="740"/>
        <v>0</v>
      </c>
      <c r="BH159" s="46">
        <f t="shared" si="740"/>
        <v>0</v>
      </c>
      <c r="BI159" s="46">
        <f t="shared" si="740"/>
        <v>0</v>
      </c>
      <c r="BJ159" s="46">
        <f t="shared" si="740"/>
        <v>0</v>
      </c>
      <c r="BK159" s="46">
        <f t="shared" si="740"/>
        <v>0</v>
      </c>
      <c r="BL159" s="46">
        <f t="shared" si="740"/>
        <v>0</v>
      </c>
      <c r="BM159" s="46">
        <f t="shared" si="740"/>
        <v>0</v>
      </c>
      <c r="BN159" s="46">
        <f t="shared" si="740"/>
        <v>1342.46</v>
      </c>
      <c r="BO159" s="46">
        <f t="shared" si="740"/>
        <v>0</v>
      </c>
      <c r="BP159" s="46">
        <f t="shared" si="740"/>
        <v>1342.46</v>
      </c>
      <c r="BQ159" s="46">
        <f t="shared" si="740"/>
        <v>657.54</v>
      </c>
      <c r="BR159" s="46">
        <f t="shared" si="740"/>
        <v>0</v>
      </c>
      <c r="BS159" s="46">
        <f t="shared" si="740"/>
        <v>657.54</v>
      </c>
      <c r="BT159" s="46">
        <f t="shared" si="740"/>
        <v>0</v>
      </c>
      <c r="BU159" s="46">
        <f t="shared" si="740"/>
        <v>1342.46</v>
      </c>
      <c r="BV159" s="46">
        <f t="shared" si="740"/>
        <v>657.54</v>
      </c>
      <c r="BW159" s="46">
        <f t="shared" si="740"/>
        <v>2000</v>
      </c>
      <c r="BX159" s="51"/>
      <c r="BY159" s="51"/>
      <c r="BZ159" s="51"/>
      <c r="CA159" s="51"/>
      <c r="CB159" s="51"/>
      <c r="CC159" s="51"/>
      <c r="CD159" s="51"/>
      <c r="CE159" s="51"/>
      <c r="CF159" s="51"/>
      <c r="CG159" s="51"/>
    </row>
    <row r="160" spans="1:85" ht="15.75" customHeight="1">
      <c r="A160" s="52" t="s">
        <v>313</v>
      </c>
      <c r="B160" s="53"/>
      <c r="C160" s="54" t="s">
        <v>69</v>
      </c>
      <c r="D160" s="55" t="s">
        <v>70</v>
      </c>
      <c r="E160" s="56">
        <v>6000</v>
      </c>
      <c r="F160" s="57">
        <v>0</v>
      </c>
      <c r="G160" s="58">
        <f t="shared" ref="G160:G161" si="741">E160-F160</f>
        <v>6000</v>
      </c>
      <c r="H160" s="57">
        <v>0</v>
      </c>
      <c r="I160" s="59">
        <f t="shared" si="732"/>
        <v>0.33333333333333331</v>
      </c>
      <c r="J160" s="59">
        <f t="shared" si="733"/>
        <v>0.22374333333333335</v>
      </c>
      <c r="K160" s="74">
        <f>1000+1000</f>
        <v>2000</v>
      </c>
      <c r="L160" s="74">
        <v>0</v>
      </c>
      <c r="M160" s="74">
        <v>0</v>
      </c>
      <c r="N160" s="74">
        <v>0</v>
      </c>
      <c r="O160" s="63">
        <f t="shared" ref="O160:Q160" si="742">AA160+AD160+AG160+AJ160+AM160+AP160+AS160+AV160+AY160+BB160+BE160+BH160</f>
        <v>1342.46</v>
      </c>
      <c r="P160" s="61">
        <f t="shared" si="742"/>
        <v>0</v>
      </c>
      <c r="Q160" s="61">
        <f t="shared" si="742"/>
        <v>0</v>
      </c>
      <c r="R160" s="61">
        <f t="shared" ref="R160:T160" si="743">IF(BK160=0,SUM(AA160+AD160+AG160+AJ160+AM160+AP160+AS160+AV160+AY160+BB160+BE160+BH160),BK160)</f>
        <v>1342.46</v>
      </c>
      <c r="S160" s="61">
        <f t="shared" si="743"/>
        <v>0</v>
      </c>
      <c r="T160" s="61">
        <f t="shared" si="743"/>
        <v>0</v>
      </c>
      <c r="U160" s="62">
        <f t="shared" ref="U160:U161" si="744">K160-O160</f>
        <v>657.54</v>
      </c>
      <c r="V160" s="63">
        <f t="shared" ref="V160:V161" si="745">L160-M160-S160</f>
        <v>0</v>
      </c>
      <c r="W160" s="63">
        <f t="shared" ref="W160:W161" si="746">N160-Q160</f>
        <v>0</v>
      </c>
      <c r="X160" s="64">
        <f t="shared" ref="X160:Y160" si="747">IF(O160&gt;0,O160/K160,0)</f>
        <v>0.67122999999999999</v>
      </c>
      <c r="Y160" s="64">
        <f t="shared" si="747"/>
        <v>0</v>
      </c>
      <c r="Z160" s="64">
        <f t="shared" si="729"/>
        <v>0</v>
      </c>
      <c r="AA160" s="65"/>
      <c r="AB160" s="65"/>
      <c r="AC160" s="65"/>
      <c r="AD160" s="65"/>
      <c r="AE160" s="66"/>
      <c r="AF160" s="66"/>
      <c r="AG160" s="66">
        <f>149.69</f>
        <v>149.69</v>
      </c>
      <c r="AH160" s="66"/>
      <c r="AI160" s="65"/>
      <c r="AJ160" s="100">
        <v>409.71</v>
      </c>
      <c r="AK160" s="65"/>
      <c r="AL160" s="65"/>
      <c r="AM160" s="65"/>
      <c r="AN160" s="65"/>
      <c r="AO160" s="65"/>
      <c r="AP160" s="65">
        <f>391.53+391.53</f>
        <v>783.06</v>
      </c>
      <c r="AQ160" s="65"/>
      <c r="AR160" s="65"/>
      <c r="AS160" s="65"/>
      <c r="AT160" s="65"/>
      <c r="AU160" s="65"/>
      <c r="AV160" s="65"/>
      <c r="AW160" s="65"/>
      <c r="AX160" s="65"/>
      <c r="AY160" s="65"/>
      <c r="AZ160" s="65"/>
      <c r="BA160" s="65"/>
      <c r="BB160" s="65"/>
      <c r="BC160" s="65"/>
      <c r="BD160" s="65"/>
      <c r="BE160" s="65"/>
      <c r="BF160" s="65"/>
      <c r="BG160" s="65"/>
      <c r="BH160" s="65"/>
      <c r="BI160" s="65"/>
      <c r="BJ160" s="65"/>
      <c r="BK160" s="65">
        <v>0</v>
      </c>
      <c r="BL160" s="65">
        <v>0</v>
      </c>
      <c r="BM160" s="65">
        <v>0</v>
      </c>
      <c r="BN160" s="65">
        <f t="shared" ref="BN160:BN161" si="748">IF(O160-BK160&gt;0,O160-BK160,0)</f>
        <v>1342.46</v>
      </c>
      <c r="BO160" s="67">
        <f t="shared" ref="BO160:BO161" si="749">IF(Q160-BM160&gt;0,Q160-BM160,0)</f>
        <v>0</v>
      </c>
      <c r="BP160" s="65">
        <f t="shared" ref="BP160:BP161" si="750">IF(BN160+BO160&gt;0,BN160+BO160,0)</f>
        <v>1342.46</v>
      </c>
      <c r="BQ160" s="65">
        <f t="shared" ref="BQ160:BQ161" si="751">IF(U160=0,0,U160)</f>
        <v>657.54</v>
      </c>
      <c r="BR160" s="65">
        <f t="shared" ref="BR160:BR161" si="752">IF(W160=0,0,W160)</f>
        <v>0</v>
      </c>
      <c r="BS160" s="65">
        <f t="shared" ref="BS160:BS161" si="753">IF(BQ160+BR160&gt;0,BQ160+BR160,0)</f>
        <v>657.54</v>
      </c>
      <c r="BT160" s="65">
        <f t="shared" ref="BT160:BT161" si="754">IF(V160&gt;0,V160,0)</f>
        <v>0</v>
      </c>
      <c r="BU160" s="65">
        <f t="shared" ref="BU160:BU161" si="755">IF(BP160=0,0,BP160)</f>
        <v>1342.46</v>
      </c>
      <c r="BV160" s="65">
        <f t="shared" ref="BV160:BV161" si="756">IF(BS160=0,0,BS160)</f>
        <v>657.54</v>
      </c>
      <c r="BW160" s="65">
        <f t="shared" ref="BW160:BW161" si="757">IF(BP160+BT160+BV160&gt;0,BP160+BT160+BV160,0)</f>
        <v>2000</v>
      </c>
      <c r="BX160" s="6"/>
      <c r="BY160" s="6"/>
      <c r="BZ160" s="6"/>
      <c r="CA160" s="6"/>
      <c r="CB160" s="6"/>
      <c r="CC160" s="6"/>
      <c r="CD160" s="6"/>
      <c r="CE160" s="6"/>
      <c r="CF160" s="6"/>
      <c r="CG160" s="6"/>
    </row>
    <row r="161" spans="1:85" ht="15.75" customHeight="1">
      <c r="A161" s="71"/>
      <c r="B161" s="72"/>
      <c r="C161" s="71" t="s">
        <v>73</v>
      </c>
      <c r="D161" s="73" t="s">
        <v>74</v>
      </c>
      <c r="E161" s="56">
        <f>3000+3973.08</f>
        <v>6973.08</v>
      </c>
      <c r="F161" s="99">
        <v>0</v>
      </c>
      <c r="G161" s="58">
        <f t="shared" si="741"/>
        <v>6973.08</v>
      </c>
      <c r="H161" s="57">
        <v>0</v>
      </c>
      <c r="I161" s="59">
        <f t="shared" si="732"/>
        <v>0</v>
      </c>
      <c r="J161" s="59">
        <f t="shared" si="733"/>
        <v>0</v>
      </c>
      <c r="K161" s="74">
        <v>0</v>
      </c>
      <c r="L161" s="74">
        <v>0</v>
      </c>
      <c r="M161" s="74">
        <v>0</v>
      </c>
      <c r="N161" s="74">
        <v>0</v>
      </c>
      <c r="O161" s="61">
        <f t="shared" ref="O161:Q161" si="758">AA161+AD161+AG161+AJ161+AM161+AP161+AS161+AV161+AY161+BB161+BE161+BH161</f>
        <v>0</v>
      </c>
      <c r="P161" s="61">
        <f t="shared" si="758"/>
        <v>0</v>
      </c>
      <c r="Q161" s="61">
        <f t="shared" si="758"/>
        <v>0</v>
      </c>
      <c r="R161" s="61">
        <f t="shared" ref="R161:T161" si="759">IF(BK161=0,SUM(AA161+AD161+AG161+AJ161+AM161+AP161+AS161+AV161+AY161+BB161+BE161+BH161),BK161)</f>
        <v>0</v>
      </c>
      <c r="S161" s="61">
        <f t="shared" si="759"/>
        <v>0</v>
      </c>
      <c r="T161" s="61">
        <f t="shared" si="759"/>
        <v>0</v>
      </c>
      <c r="U161" s="63">
        <f t="shared" si="744"/>
        <v>0</v>
      </c>
      <c r="V161" s="63">
        <f t="shared" si="745"/>
        <v>0</v>
      </c>
      <c r="W161" s="63">
        <f t="shared" si="746"/>
        <v>0</v>
      </c>
      <c r="X161" s="64">
        <f t="shared" ref="X161:Y161" si="760">IF(O161&gt;0,O161/K161,0)</f>
        <v>0</v>
      </c>
      <c r="Y161" s="64">
        <f t="shared" si="760"/>
        <v>0</v>
      </c>
      <c r="Z161" s="64">
        <f t="shared" si="729"/>
        <v>0</v>
      </c>
      <c r="AA161" s="65"/>
      <c r="AB161" s="65"/>
      <c r="AC161" s="65"/>
      <c r="AD161" s="65"/>
      <c r="AE161" s="66"/>
      <c r="AF161" s="66"/>
      <c r="AG161" s="66"/>
      <c r="AH161" s="66"/>
      <c r="AI161" s="65"/>
      <c r="AJ161" s="65"/>
      <c r="AK161" s="65"/>
      <c r="AL161" s="65"/>
      <c r="AM161" s="65"/>
      <c r="AN161" s="65"/>
      <c r="AO161" s="65"/>
      <c r="AP161" s="65"/>
      <c r="AQ161" s="65"/>
      <c r="AR161" s="65"/>
      <c r="AS161" s="65"/>
      <c r="AT161" s="65"/>
      <c r="AU161" s="65"/>
      <c r="AV161" s="65"/>
      <c r="AW161" s="65"/>
      <c r="AX161" s="65"/>
      <c r="AY161" s="65"/>
      <c r="AZ161" s="65"/>
      <c r="BA161" s="65"/>
      <c r="BB161" s="65"/>
      <c r="BC161" s="65"/>
      <c r="BD161" s="65"/>
      <c r="BE161" s="65"/>
      <c r="BF161" s="65"/>
      <c r="BG161" s="65"/>
      <c r="BH161" s="65"/>
      <c r="BI161" s="65"/>
      <c r="BJ161" s="65"/>
      <c r="BK161" s="65">
        <v>0</v>
      </c>
      <c r="BL161" s="65">
        <v>0</v>
      </c>
      <c r="BM161" s="65">
        <v>0</v>
      </c>
      <c r="BN161" s="65">
        <f t="shared" si="748"/>
        <v>0</v>
      </c>
      <c r="BO161" s="67">
        <f t="shared" si="749"/>
        <v>0</v>
      </c>
      <c r="BP161" s="65">
        <f t="shared" si="750"/>
        <v>0</v>
      </c>
      <c r="BQ161" s="65">
        <f t="shared" si="751"/>
        <v>0</v>
      </c>
      <c r="BR161" s="65">
        <f t="shared" si="752"/>
        <v>0</v>
      </c>
      <c r="BS161" s="65">
        <f t="shared" si="753"/>
        <v>0</v>
      </c>
      <c r="BT161" s="65">
        <f t="shared" si="754"/>
        <v>0</v>
      </c>
      <c r="BU161" s="65">
        <f t="shared" si="755"/>
        <v>0</v>
      </c>
      <c r="BV161" s="65">
        <f t="shared" si="756"/>
        <v>0</v>
      </c>
      <c r="BW161" s="65">
        <f t="shared" si="757"/>
        <v>0</v>
      </c>
      <c r="BX161" s="6"/>
      <c r="BY161" s="6"/>
      <c r="BZ161" s="6"/>
      <c r="CA161" s="6"/>
      <c r="CB161" s="6"/>
      <c r="CC161" s="6"/>
      <c r="CD161" s="6"/>
      <c r="CE161" s="6"/>
      <c r="CF161" s="6"/>
      <c r="CG161" s="6"/>
    </row>
    <row r="162" spans="1:85" ht="15.75">
      <c r="A162" s="75"/>
      <c r="B162" s="76"/>
      <c r="C162" s="77"/>
      <c r="D162" s="78" t="s">
        <v>168</v>
      </c>
      <c r="E162" s="45">
        <f t="shared" ref="E162:H162" si="761">SUM(E163:E165)</f>
        <v>28385</v>
      </c>
      <c r="F162" s="46">
        <f t="shared" si="761"/>
        <v>0</v>
      </c>
      <c r="G162" s="46">
        <f t="shared" si="761"/>
        <v>28385</v>
      </c>
      <c r="H162" s="46">
        <f t="shared" si="761"/>
        <v>0</v>
      </c>
      <c r="I162" s="47">
        <f t="shared" si="732"/>
        <v>0</v>
      </c>
      <c r="J162" s="47">
        <f t="shared" si="733"/>
        <v>0</v>
      </c>
      <c r="K162" s="46">
        <f t="shared" ref="K162:W162" si="762">SUM(K163:K165)</f>
        <v>0</v>
      </c>
      <c r="L162" s="46">
        <f t="shared" si="762"/>
        <v>0</v>
      </c>
      <c r="M162" s="46">
        <f t="shared" si="762"/>
        <v>0</v>
      </c>
      <c r="N162" s="46">
        <f t="shared" si="762"/>
        <v>0</v>
      </c>
      <c r="O162" s="46">
        <f t="shared" si="762"/>
        <v>0</v>
      </c>
      <c r="P162" s="46">
        <f t="shared" si="762"/>
        <v>0</v>
      </c>
      <c r="Q162" s="46">
        <f t="shared" si="762"/>
        <v>0</v>
      </c>
      <c r="R162" s="46">
        <f t="shared" si="762"/>
        <v>0</v>
      </c>
      <c r="S162" s="46">
        <f t="shared" si="762"/>
        <v>0</v>
      </c>
      <c r="T162" s="46">
        <f t="shared" si="762"/>
        <v>0</v>
      </c>
      <c r="U162" s="46">
        <f t="shared" si="762"/>
        <v>0</v>
      </c>
      <c r="V162" s="46">
        <f t="shared" si="762"/>
        <v>0</v>
      </c>
      <c r="W162" s="46">
        <f t="shared" si="762"/>
        <v>0</v>
      </c>
      <c r="X162" s="50">
        <f t="shared" ref="X162:Y162" si="763">IF(O162&gt;0,O162/K162,0)</f>
        <v>0</v>
      </c>
      <c r="Y162" s="50">
        <f t="shared" si="763"/>
        <v>0</v>
      </c>
      <c r="Z162" s="50">
        <f t="shared" si="729"/>
        <v>0</v>
      </c>
      <c r="AA162" s="46">
        <f t="shared" ref="AA162:BW162" si="764">SUM(AA163:AA165)</f>
        <v>0</v>
      </c>
      <c r="AB162" s="46">
        <f t="shared" si="764"/>
        <v>0</v>
      </c>
      <c r="AC162" s="46">
        <f t="shared" si="764"/>
        <v>0</v>
      </c>
      <c r="AD162" s="46">
        <f t="shared" si="764"/>
        <v>0</v>
      </c>
      <c r="AE162" s="46">
        <f t="shared" si="764"/>
        <v>0</v>
      </c>
      <c r="AF162" s="46">
        <f t="shared" si="764"/>
        <v>0</v>
      </c>
      <c r="AG162" s="46">
        <f t="shared" si="764"/>
        <v>0</v>
      </c>
      <c r="AH162" s="46">
        <f t="shared" si="764"/>
        <v>0</v>
      </c>
      <c r="AI162" s="46">
        <f t="shared" si="764"/>
        <v>0</v>
      </c>
      <c r="AJ162" s="46">
        <f t="shared" si="764"/>
        <v>0</v>
      </c>
      <c r="AK162" s="46">
        <f t="shared" si="764"/>
        <v>0</v>
      </c>
      <c r="AL162" s="46">
        <f t="shared" si="764"/>
        <v>0</v>
      </c>
      <c r="AM162" s="46">
        <f t="shared" si="764"/>
        <v>0</v>
      </c>
      <c r="AN162" s="46">
        <f t="shared" si="764"/>
        <v>0</v>
      </c>
      <c r="AO162" s="46">
        <f t="shared" si="764"/>
        <v>0</v>
      </c>
      <c r="AP162" s="46">
        <f t="shared" si="764"/>
        <v>0</v>
      </c>
      <c r="AQ162" s="46">
        <f t="shared" si="764"/>
        <v>0</v>
      </c>
      <c r="AR162" s="46">
        <f t="shared" si="764"/>
        <v>0</v>
      </c>
      <c r="AS162" s="46">
        <f t="shared" si="764"/>
        <v>0</v>
      </c>
      <c r="AT162" s="46">
        <f t="shared" si="764"/>
        <v>0</v>
      </c>
      <c r="AU162" s="46">
        <f t="shared" si="764"/>
        <v>0</v>
      </c>
      <c r="AV162" s="46">
        <f t="shared" si="764"/>
        <v>0</v>
      </c>
      <c r="AW162" s="46">
        <f t="shared" si="764"/>
        <v>0</v>
      </c>
      <c r="AX162" s="46">
        <f t="shared" si="764"/>
        <v>0</v>
      </c>
      <c r="AY162" s="46">
        <f t="shared" si="764"/>
        <v>0</v>
      </c>
      <c r="AZ162" s="46">
        <f t="shared" si="764"/>
        <v>0</v>
      </c>
      <c r="BA162" s="46">
        <f t="shared" si="764"/>
        <v>0</v>
      </c>
      <c r="BB162" s="46">
        <f t="shared" si="764"/>
        <v>0</v>
      </c>
      <c r="BC162" s="46">
        <f t="shared" si="764"/>
        <v>0</v>
      </c>
      <c r="BD162" s="46">
        <f t="shared" si="764"/>
        <v>0</v>
      </c>
      <c r="BE162" s="46">
        <f t="shared" si="764"/>
        <v>0</v>
      </c>
      <c r="BF162" s="46">
        <f t="shared" si="764"/>
        <v>0</v>
      </c>
      <c r="BG162" s="46">
        <f t="shared" si="764"/>
        <v>0</v>
      </c>
      <c r="BH162" s="46">
        <f t="shared" si="764"/>
        <v>0</v>
      </c>
      <c r="BI162" s="46">
        <f t="shared" si="764"/>
        <v>0</v>
      </c>
      <c r="BJ162" s="46">
        <f t="shared" si="764"/>
        <v>0</v>
      </c>
      <c r="BK162" s="46">
        <f t="shared" si="764"/>
        <v>0</v>
      </c>
      <c r="BL162" s="46">
        <f t="shared" si="764"/>
        <v>0</v>
      </c>
      <c r="BM162" s="46">
        <f t="shared" si="764"/>
        <v>0</v>
      </c>
      <c r="BN162" s="46">
        <f t="shared" si="764"/>
        <v>0</v>
      </c>
      <c r="BO162" s="46">
        <f t="shared" si="764"/>
        <v>0</v>
      </c>
      <c r="BP162" s="46">
        <f t="shared" si="764"/>
        <v>0</v>
      </c>
      <c r="BQ162" s="46">
        <f t="shared" si="764"/>
        <v>0</v>
      </c>
      <c r="BR162" s="46">
        <f t="shared" si="764"/>
        <v>0</v>
      </c>
      <c r="BS162" s="46">
        <f t="shared" si="764"/>
        <v>0</v>
      </c>
      <c r="BT162" s="46">
        <f t="shared" si="764"/>
        <v>0</v>
      </c>
      <c r="BU162" s="46">
        <f t="shared" si="764"/>
        <v>0</v>
      </c>
      <c r="BV162" s="46">
        <f t="shared" si="764"/>
        <v>0</v>
      </c>
      <c r="BW162" s="46">
        <f t="shared" si="764"/>
        <v>0</v>
      </c>
      <c r="BX162" s="51"/>
      <c r="BY162" s="51"/>
      <c r="BZ162" s="51"/>
      <c r="CA162" s="51"/>
      <c r="CB162" s="51"/>
      <c r="CC162" s="51"/>
      <c r="CD162" s="51"/>
      <c r="CE162" s="51"/>
      <c r="CF162" s="51"/>
      <c r="CG162" s="51"/>
    </row>
    <row r="163" spans="1:85" ht="15.75" customHeight="1">
      <c r="A163" s="54"/>
      <c r="B163" s="102"/>
      <c r="C163" s="54" t="s">
        <v>314</v>
      </c>
      <c r="D163" s="55" t="s">
        <v>315</v>
      </c>
      <c r="E163" s="57">
        <v>0</v>
      </c>
      <c r="F163" s="57">
        <v>0</v>
      </c>
      <c r="G163" s="58">
        <f t="shared" ref="G163:G165" si="765">E163-F163</f>
        <v>0</v>
      </c>
      <c r="H163" s="57">
        <v>0</v>
      </c>
      <c r="I163" s="59">
        <f t="shared" si="732"/>
        <v>0</v>
      </c>
      <c r="J163" s="59">
        <f t="shared" si="733"/>
        <v>0</v>
      </c>
      <c r="K163" s="74">
        <v>0</v>
      </c>
      <c r="L163" s="74">
        <v>0</v>
      </c>
      <c r="M163" s="74">
        <v>0</v>
      </c>
      <c r="N163" s="74">
        <v>0</v>
      </c>
      <c r="O163" s="61">
        <f t="shared" ref="O163:Q163" si="766">AA163+AD163+AG163+AJ163+AM163+AP163+AS163+AV163+AY163+BB163+BE163+BH163</f>
        <v>0</v>
      </c>
      <c r="P163" s="61">
        <f t="shared" si="766"/>
        <v>0</v>
      </c>
      <c r="Q163" s="61">
        <f t="shared" si="766"/>
        <v>0</v>
      </c>
      <c r="R163" s="61">
        <f t="shared" ref="R163:T163" si="767">IF(BK163=0,SUM(AA163+AD163+AG163+AJ163+AM163+AP163+AS163+AV163+AY163+BB163+BE163+BH163),BK163)</f>
        <v>0</v>
      </c>
      <c r="S163" s="61">
        <f t="shared" si="767"/>
        <v>0</v>
      </c>
      <c r="T163" s="61">
        <f t="shared" si="767"/>
        <v>0</v>
      </c>
      <c r="U163" s="63">
        <f t="shared" ref="U163:U165" si="768">K163-O163</f>
        <v>0</v>
      </c>
      <c r="V163" s="63">
        <f t="shared" ref="V163:V165" si="769">L163-M163-S163</f>
        <v>0</v>
      </c>
      <c r="W163" s="63">
        <f t="shared" ref="W163:W165" si="770">N163-Q163</f>
        <v>0</v>
      </c>
      <c r="X163" s="64">
        <f t="shared" ref="X163:Y163" si="771">IF(O163&gt;0,O163/K163,0)</f>
        <v>0</v>
      </c>
      <c r="Y163" s="64">
        <f t="shared" si="771"/>
        <v>0</v>
      </c>
      <c r="Z163" s="64">
        <f t="shared" si="729"/>
        <v>0</v>
      </c>
      <c r="AA163" s="65"/>
      <c r="AB163" s="65"/>
      <c r="AC163" s="65"/>
      <c r="AD163" s="65"/>
      <c r="AE163" s="66"/>
      <c r="AF163" s="66"/>
      <c r="AG163" s="66"/>
      <c r="AH163" s="66"/>
      <c r="AI163" s="65"/>
      <c r="AJ163" s="65"/>
      <c r="AK163" s="65"/>
      <c r="AL163" s="65"/>
      <c r="AM163" s="65"/>
      <c r="AN163" s="65"/>
      <c r="AO163" s="65"/>
      <c r="AP163" s="65"/>
      <c r="AQ163" s="65"/>
      <c r="AR163" s="65"/>
      <c r="AS163" s="65"/>
      <c r="AT163" s="65"/>
      <c r="AU163" s="65"/>
      <c r="AV163" s="65"/>
      <c r="AW163" s="65"/>
      <c r="AX163" s="65"/>
      <c r="AY163" s="65"/>
      <c r="AZ163" s="65"/>
      <c r="BA163" s="65"/>
      <c r="BB163" s="65"/>
      <c r="BC163" s="65"/>
      <c r="BD163" s="65"/>
      <c r="BE163" s="65"/>
      <c r="BF163" s="65"/>
      <c r="BG163" s="65"/>
      <c r="BH163" s="237"/>
      <c r="BI163" s="237"/>
      <c r="BJ163" s="237"/>
      <c r="BK163" s="65">
        <v>0</v>
      </c>
      <c r="BL163" s="65">
        <v>0</v>
      </c>
      <c r="BM163" s="65">
        <v>0</v>
      </c>
      <c r="BN163" s="65">
        <f t="shared" ref="BN163:BN165" si="772">IF(O163-BK163&gt;0,O163-BK163,0)</f>
        <v>0</v>
      </c>
      <c r="BO163" s="67">
        <f t="shared" ref="BO163:BO165" si="773">IF(Q163-BM163&gt;0,Q163-BM163,0)</f>
        <v>0</v>
      </c>
      <c r="BP163" s="65">
        <f t="shared" ref="BP163:BP165" si="774">IF(BN163+BO163&gt;0,BN163+BO163,0)</f>
        <v>0</v>
      </c>
      <c r="BQ163" s="65">
        <f t="shared" ref="BQ163:BQ165" si="775">IF(U163=0,0,U163)</f>
        <v>0</v>
      </c>
      <c r="BR163" s="65">
        <f t="shared" ref="BR163:BR165" si="776">IF(W163=0,0,W163)</f>
        <v>0</v>
      </c>
      <c r="BS163" s="65">
        <f t="shared" ref="BS163:BS165" si="777">IF(BQ163+BR163&gt;0,BQ163+BR163,0)</f>
        <v>0</v>
      </c>
      <c r="BT163" s="65">
        <f t="shared" ref="BT163:BT165" si="778">IF(V163&gt;0,V163,0)</f>
        <v>0</v>
      </c>
      <c r="BU163" s="65">
        <f t="shared" ref="BU163:BU165" si="779">IF(BP163=0,0,BP163)</f>
        <v>0</v>
      </c>
      <c r="BV163" s="65">
        <f t="shared" ref="BV163:BV165" si="780">IF(BS163=0,0,BS163)</f>
        <v>0</v>
      </c>
      <c r="BW163" s="65">
        <f t="shared" ref="BW163:BW165" si="781">IF(BP163+BT163+BV163&gt;0,BP163+BT163+BV163,0)</f>
        <v>0</v>
      </c>
      <c r="BX163" s="6"/>
      <c r="BY163" s="6"/>
      <c r="BZ163" s="6"/>
      <c r="CA163" s="6"/>
      <c r="CB163" s="6"/>
      <c r="CC163" s="6"/>
      <c r="CD163" s="6"/>
      <c r="CE163" s="6"/>
      <c r="CF163" s="6"/>
      <c r="CG163" s="6"/>
    </row>
    <row r="164" spans="1:85" ht="15.75" customHeight="1">
      <c r="A164" s="68"/>
      <c r="B164" s="103"/>
      <c r="C164" s="68" t="s">
        <v>316</v>
      </c>
      <c r="D164" s="70" t="s">
        <v>317</v>
      </c>
      <c r="E164" s="56">
        <f>20000+3385</f>
        <v>23385</v>
      </c>
      <c r="F164" s="57">
        <v>0</v>
      </c>
      <c r="G164" s="58">
        <f t="shared" si="765"/>
        <v>23385</v>
      </c>
      <c r="H164" s="57">
        <v>0</v>
      </c>
      <c r="I164" s="59">
        <f t="shared" si="732"/>
        <v>0</v>
      </c>
      <c r="J164" s="59">
        <f t="shared" si="733"/>
        <v>0</v>
      </c>
      <c r="K164" s="74">
        <v>0</v>
      </c>
      <c r="L164" s="74">
        <v>0</v>
      </c>
      <c r="M164" s="74">
        <v>0</v>
      </c>
      <c r="N164" s="74">
        <v>0</v>
      </c>
      <c r="O164" s="61">
        <f t="shared" ref="O164:Q164" si="782">AA164+AD164+AG164+AJ164+AM164+AP164+AS164+AV164+AY164+BB164+BE164+BH164</f>
        <v>0</v>
      </c>
      <c r="P164" s="61">
        <f t="shared" si="782"/>
        <v>0</v>
      </c>
      <c r="Q164" s="61">
        <f t="shared" si="782"/>
        <v>0</v>
      </c>
      <c r="R164" s="61">
        <f t="shared" ref="R164:T164" si="783">IF(BK164=0,SUM(AA164+AD164+AG164+AJ164+AM164+AP164+AS164+AV164+AY164+BB164+BE164+BH164),BK164)</f>
        <v>0</v>
      </c>
      <c r="S164" s="61">
        <f t="shared" si="783"/>
        <v>0</v>
      </c>
      <c r="T164" s="61">
        <f t="shared" si="783"/>
        <v>0</v>
      </c>
      <c r="U164" s="63">
        <f t="shared" si="768"/>
        <v>0</v>
      </c>
      <c r="V164" s="63">
        <f t="shared" si="769"/>
        <v>0</v>
      </c>
      <c r="W164" s="63">
        <f t="shared" si="770"/>
        <v>0</v>
      </c>
      <c r="X164" s="64">
        <f t="shared" ref="X164:Y164" si="784">IF(O164&gt;0,O164/K164,0)</f>
        <v>0</v>
      </c>
      <c r="Y164" s="64">
        <f t="shared" si="784"/>
        <v>0</v>
      </c>
      <c r="Z164" s="64">
        <f t="shared" si="729"/>
        <v>0</v>
      </c>
      <c r="AA164" s="65"/>
      <c r="AB164" s="65"/>
      <c r="AC164" s="65"/>
      <c r="AD164" s="65"/>
      <c r="AE164" s="66"/>
      <c r="AF164" s="66"/>
      <c r="AG164" s="66"/>
      <c r="AH164" s="66"/>
      <c r="AI164" s="65"/>
      <c r="AJ164" s="65"/>
      <c r="AK164" s="65"/>
      <c r="AL164" s="65"/>
      <c r="AM164" s="65"/>
      <c r="AN164" s="65"/>
      <c r="AO164" s="65"/>
      <c r="AP164" s="65"/>
      <c r="AQ164" s="65"/>
      <c r="AR164" s="65"/>
      <c r="AS164" s="65"/>
      <c r="AT164" s="65"/>
      <c r="AU164" s="65"/>
      <c r="AV164" s="65"/>
      <c r="AW164" s="65"/>
      <c r="AX164" s="65"/>
      <c r="AY164" s="65"/>
      <c r="AZ164" s="65"/>
      <c r="BA164" s="65"/>
      <c r="BB164" s="65"/>
      <c r="BC164" s="65"/>
      <c r="BD164" s="65"/>
      <c r="BE164" s="65"/>
      <c r="BF164" s="65"/>
      <c r="BG164" s="65"/>
      <c r="BH164" s="237"/>
      <c r="BI164" s="237"/>
      <c r="BJ164" s="237"/>
      <c r="BK164" s="65">
        <v>0</v>
      </c>
      <c r="BL164" s="65">
        <v>0</v>
      </c>
      <c r="BM164" s="65">
        <v>0</v>
      </c>
      <c r="BN164" s="65">
        <f t="shared" si="772"/>
        <v>0</v>
      </c>
      <c r="BO164" s="67">
        <f t="shared" si="773"/>
        <v>0</v>
      </c>
      <c r="BP164" s="65">
        <f t="shared" si="774"/>
        <v>0</v>
      </c>
      <c r="BQ164" s="65">
        <f t="shared" si="775"/>
        <v>0</v>
      </c>
      <c r="BR164" s="65">
        <f t="shared" si="776"/>
        <v>0</v>
      </c>
      <c r="BS164" s="65">
        <f t="shared" si="777"/>
        <v>0</v>
      </c>
      <c r="BT164" s="65">
        <f t="shared" si="778"/>
        <v>0</v>
      </c>
      <c r="BU164" s="65">
        <f t="shared" si="779"/>
        <v>0</v>
      </c>
      <c r="BV164" s="65">
        <f t="shared" si="780"/>
        <v>0</v>
      </c>
      <c r="BW164" s="65">
        <f t="shared" si="781"/>
        <v>0</v>
      </c>
      <c r="BX164" s="6"/>
      <c r="BY164" s="6"/>
      <c r="BZ164" s="6"/>
      <c r="CA164" s="6"/>
      <c r="CB164" s="6"/>
      <c r="CC164" s="6"/>
      <c r="CD164" s="6"/>
      <c r="CE164" s="6"/>
      <c r="CF164" s="6"/>
      <c r="CG164" s="6"/>
    </row>
    <row r="165" spans="1:85" ht="15.75" customHeight="1">
      <c r="A165" s="238"/>
      <c r="B165" s="239"/>
      <c r="C165" s="71" t="s">
        <v>208</v>
      </c>
      <c r="D165" s="240" t="s">
        <v>209</v>
      </c>
      <c r="E165" s="56">
        <v>5000</v>
      </c>
      <c r="F165" s="57">
        <v>0</v>
      </c>
      <c r="G165" s="58">
        <f t="shared" si="765"/>
        <v>5000</v>
      </c>
      <c r="H165" s="57">
        <v>0</v>
      </c>
      <c r="I165" s="59">
        <f t="shared" si="732"/>
        <v>0</v>
      </c>
      <c r="J165" s="59">
        <f t="shared" si="733"/>
        <v>0</v>
      </c>
      <c r="K165" s="74">
        <v>0</v>
      </c>
      <c r="L165" s="74">
        <v>0</v>
      </c>
      <c r="M165" s="74">
        <v>0</v>
      </c>
      <c r="N165" s="74">
        <v>0</v>
      </c>
      <c r="O165" s="61">
        <f t="shared" ref="O165:Q165" si="785">AA165+AD165+AG165+AJ165+AM165+AP165+AS165+AV165+AY165+BB165+BE165+BH165</f>
        <v>0</v>
      </c>
      <c r="P165" s="61">
        <f t="shared" si="785"/>
        <v>0</v>
      </c>
      <c r="Q165" s="61">
        <f t="shared" si="785"/>
        <v>0</v>
      </c>
      <c r="R165" s="61">
        <f t="shared" ref="R165:T165" si="786">IF(BK165=0,SUM(AA165+AD165+AG165+AJ165+AM165+AP165+AS165+AV165+AY165+BB165+BE165+BH165),BK165)</f>
        <v>0</v>
      </c>
      <c r="S165" s="61">
        <f t="shared" si="786"/>
        <v>0</v>
      </c>
      <c r="T165" s="61">
        <f t="shared" si="786"/>
        <v>0</v>
      </c>
      <c r="U165" s="63">
        <f t="shared" si="768"/>
        <v>0</v>
      </c>
      <c r="V165" s="63">
        <f t="shared" si="769"/>
        <v>0</v>
      </c>
      <c r="W165" s="63">
        <f t="shared" si="770"/>
        <v>0</v>
      </c>
      <c r="X165" s="64">
        <f t="shared" ref="X165:Y165" si="787">IF(O165&gt;0,O165/K165,0)</f>
        <v>0</v>
      </c>
      <c r="Y165" s="64">
        <f t="shared" si="787"/>
        <v>0</v>
      </c>
      <c r="Z165" s="64">
        <f t="shared" si="729"/>
        <v>0</v>
      </c>
      <c r="AA165" s="65"/>
      <c r="AB165" s="65"/>
      <c r="AC165" s="65"/>
      <c r="AD165" s="65"/>
      <c r="AE165" s="66"/>
      <c r="AF165" s="66"/>
      <c r="AG165" s="66"/>
      <c r="AH165" s="66"/>
      <c r="AI165" s="65"/>
      <c r="AJ165" s="65"/>
      <c r="AK165" s="65"/>
      <c r="AL165" s="65"/>
      <c r="AM165" s="65"/>
      <c r="AN165" s="65"/>
      <c r="AO165" s="65"/>
      <c r="AP165" s="65"/>
      <c r="AQ165" s="65"/>
      <c r="AR165" s="65"/>
      <c r="AS165" s="65"/>
      <c r="AT165" s="65"/>
      <c r="AU165" s="65"/>
      <c r="AV165" s="65"/>
      <c r="AW165" s="65"/>
      <c r="AX165" s="65"/>
      <c r="AY165" s="65"/>
      <c r="AZ165" s="65"/>
      <c r="BA165" s="65"/>
      <c r="BB165" s="65"/>
      <c r="BC165" s="65"/>
      <c r="BD165" s="65"/>
      <c r="BE165" s="65"/>
      <c r="BF165" s="65"/>
      <c r="BG165" s="65"/>
      <c r="BH165" s="241"/>
      <c r="BI165" s="241"/>
      <c r="BJ165" s="241"/>
      <c r="BK165" s="65">
        <v>0</v>
      </c>
      <c r="BL165" s="65">
        <v>0</v>
      </c>
      <c r="BM165" s="65">
        <v>0</v>
      </c>
      <c r="BN165" s="65">
        <f t="shared" si="772"/>
        <v>0</v>
      </c>
      <c r="BO165" s="67">
        <f t="shared" si="773"/>
        <v>0</v>
      </c>
      <c r="BP165" s="65">
        <f t="shared" si="774"/>
        <v>0</v>
      </c>
      <c r="BQ165" s="65">
        <f t="shared" si="775"/>
        <v>0</v>
      </c>
      <c r="BR165" s="65">
        <f t="shared" si="776"/>
        <v>0</v>
      </c>
      <c r="BS165" s="65">
        <f t="shared" si="777"/>
        <v>0</v>
      </c>
      <c r="BT165" s="65">
        <f t="shared" si="778"/>
        <v>0</v>
      </c>
      <c r="BU165" s="65">
        <f t="shared" si="779"/>
        <v>0</v>
      </c>
      <c r="BV165" s="65">
        <f t="shared" si="780"/>
        <v>0</v>
      </c>
      <c r="BW165" s="65">
        <f t="shared" si="781"/>
        <v>0</v>
      </c>
      <c r="BX165" s="6"/>
      <c r="BY165" s="6"/>
      <c r="BZ165" s="6"/>
      <c r="CA165" s="6"/>
      <c r="CB165" s="6"/>
      <c r="CC165" s="6"/>
      <c r="CD165" s="6"/>
      <c r="CE165" s="6"/>
      <c r="CF165" s="6"/>
      <c r="CG165" s="6"/>
    </row>
    <row r="166" spans="1:85" ht="15.75">
      <c r="A166" s="75"/>
      <c r="B166" s="76"/>
      <c r="C166" s="77"/>
      <c r="D166" s="78" t="s">
        <v>264</v>
      </c>
      <c r="E166" s="45">
        <f t="shared" ref="E166:H166" si="788">SUM(E167:E174)</f>
        <v>0</v>
      </c>
      <c r="F166" s="46">
        <f t="shared" si="788"/>
        <v>0</v>
      </c>
      <c r="G166" s="46">
        <f t="shared" si="788"/>
        <v>0</v>
      </c>
      <c r="H166" s="46">
        <f t="shared" si="788"/>
        <v>0</v>
      </c>
      <c r="I166" s="47">
        <f t="shared" si="732"/>
        <v>0</v>
      </c>
      <c r="J166" s="47">
        <f t="shared" si="733"/>
        <v>0</v>
      </c>
      <c r="K166" s="46">
        <f t="shared" ref="K166:W166" si="789">SUM(K167:K174)</f>
        <v>0</v>
      </c>
      <c r="L166" s="46">
        <f t="shared" si="789"/>
        <v>210853.11</v>
      </c>
      <c r="M166" s="46">
        <f t="shared" si="789"/>
        <v>0</v>
      </c>
      <c r="N166" s="46">
        <f t="shared" si="789"/>
        <v>0</v>
      </c>
      <c r="O166" s="46">
        <f t="shared" si="789"/>
        <v>0</v>
      </c>
      <c r="P166" s="46">
        <f t="shared" si="789"/>
        <v>210853.11</v>
      </c>
      <c r="Q166" s="46">
        <f t="shared" si="789"/>
        <v>0</v>
      </c>
      <c r="R166" s="46">
        <f t="shared" si="789"/>
        <v>0</v>
      </c>
      <c r="S166" s="46">
        <f t="shared" si="789"/>
        <v>210853.11</v>
      </c>
      <c r="T166" s="46">
        <f t="shared" si="789"/>
        <v>0</v>
      </c>
      <c r="U166" s="46">
        <f t="shared" si="789"/>
        <v>0</v>
      </c>
      <c r="V166" s="46">
        <f t="shared" si="789"/>
        <v>0</v>
      </c>
      <c r="W166" s="46">
        <f t="shared" si="789"/>
        <v>0</v>
      </c>
      <c r="X166" s="50">
        <f t="shared" ref="X166:Y166" si="790">IF(O166&gt;0,O166/K166,0)</f>
        <v>0</v>
      </c>
      <c r="Y166" s="50">
        <f t="shared" si="790"/>
        <v>1</v>
      </c>
      <c r="Z166" s="50">
        <f t="shared" si="729"/>
        <v>0</v>
      </c>
      <c r="AA166" s="46">
        <f t="shared" ref="AA166:BW166" si="791">SUM(AA167:AA174)</f>
        <v>0</v>
      </c>
      <c r="AB166" s="46">
        <f t="shared" si="791"/>
        <v>210853.11</v>
      </c>
      <c r="AC166" s="46">
        <f t="shared" si="791"/>
        <v>0</v>
      </c>
      <c r="AD166" s="46">
        <f t="shared" si="791"/>
        <v>0</v>
      </c>
      <c r="AE166" s="46">
        <f t="shared" si="791"/>
        <v>0</v>
      </c>
      <c r="AF166" s="46">
        <f t="shared" si="791"/>
        <v>0</v>
      </c>
      <c r="AG166" s="46">
        <f t="shared" si="791"/>
        <v>0</v>
      </c>
      <c r="AH166" s="46">
        <f t="shared" si="791"/>
        <v>0</v>
      </c>
      <c r="AI166" s="46">
        <f t="shared" si="791"/>
        <v>0</v>
      </c>
      <c r="AJ166" s="46">
        <f t="shared" si="791"/>
        <v>0</v>
      </c>
      <c r="AK166" s="46">
        <f t="shared" si="791"/>
        <v>0</v>
      </c>
      <c r="AL166" s="46">
        <f t="shared" si="791"/>
        <v>0</v>
      </c>
      <c r="AM166" s="46">
        <f t="shared" si="791"/>
        <v>0</v>
      </c>
      <c r="AN166" s="46">
        <f t="shared" si="791"/>
        <v>0</v>
      </c>
      <c r="AO166" s="46">
        <f t="shared" si="791"/>
        <v>0</v>
      </c>
      <c r="AP166" s="46">
        <f t="shared" si="791"/>
        <v>0</v>
      </c>
      <c r="AQ166" s="46">
        <f t="shared" si="791"/>
        <v>0</v>
      </c>
      <c r="AR166" s="46">
        <f t="shared" si="791"/>
        <v>0</v>
      </c>
      <c r="AS166" s="46">
        <f t="shared" si="791"/>
        <v>0</v>
      </c>
      <c r="AT166" s="46">
        <f t="shared" si="791"/>
        <v>0</v>
      </c>
      <c r="AU166" s="46">
        <f t="shared" si="791"/>
        <v>0</v>
      </c>
      <c r="AV166" s="46">
        <f t="shared" si="791"/>
        <v>0</v>
      </c>
      <c r="AW166" s="46">
        <f t="shared" si="791"/>
        <v>0</v>
      </c>
      <c r="AX166" s="46">
        <f t="shared" si="791"/>
        <v>0</v>
      </c>
      <c r="AY166" s="46">
        <f t="shared" si="791"/>
        <v>0</v>
      </c>
      <c r="AZ166" s="46">
        <f t="shared" si="791"/>
        <v>0</v>
      </c>
      <c r="BA166" s="46">
        <f t="shared" si="791"/>
        <v>0</v>
      </c>
      <c r="BB166" s="46">
        <f t="shared" si="791"/>
        <v>0</v>
      </c>
      <c r="BC166" s="46">
        <f t="shared" si="791"/>
        <v>0</v>
      </c>
      <c r="BD166" s="46">
        <f t="shared" si="791"/>
        <v>0</v>
      </c>
      <c r="BE166" s="46">
        <f t="shared" si="791"/>
        <v>0</v>
      </c>
      <c r="BF166" s="46">
        <f t="shared" si="791"/>
        <v>0</v>
      </c>
      <c r="BG166" s="46">
        <f t="shared" si="791"/>
        <v>0</v>
      </c>
      <c r="BH166" s="46">
        <f t="shared" si="791"/>
        <v>0</v>
      </c>
      <c r="BI166" s="46">
        <f t="shared" si="791"/>
        <v>0</v>
      </c>
      <c r="BJ166" s="46">
        <f t="shared" si="791"/>
        <v>0</v>
      </c>
      <c r="BK166" s="46">
        <f t="shared" si="791"/>
        <v>0</v>
      </c>
      <c r="BL166" s="46">
        <f t="shared" si="791"/>
        <v>0</v>
      </c>
      <c r="BM166" s="46">
        <f t="shared" si="791"/>
        <v>0</v>
      </c>
      <c r="BN166" s="46">
        <f t="shared" si="791"/>
        <v>0</v>
      </c>
      <c r="BO166" s="46">
        <f t="shared" si="791"/>
        <v>0</v>
      </c>
      <c r="BP166" s="46">
        <f t="shared" si="791"/>
        <v>0</v>
      </c>
      <c r="BQ166" s="46">
        <f t="shared" si="791"/>
        <v>0</v>
      </c>
      <c r="BR166" s="46">
        <f t="shared" si="791"/>
        <v>0</v>
      </c>
      <c r="BS166" s="46">
        <f t="shared" si="791"/>
        <v>0</v>
      </c>
      <c r="BT166" s="46">
        <f t="shared" si="791"/>
        <v>0</v>
      </c>
      <c r="BU166" s="46">
        <f t="shared" si="791"/>
        <v>0</v>
      </c>
      <c r="BV166" s="46">
        <f t="shared" si="791"/>
        <v>0</v>
      </c>
      <c r="BW166" s="46">
        <f t="shared" si="791"/>
        <v>0</v>
      </c>
      <c r="BX166" s="51"/>
      <c r="BY166" s="51"/>
      <c r="BZ166" s="51"/>
      <c r="CA166" s="51"/>
      <c r="CB166" s="51"/>
      <c r="CC166" s="51"/>
      <c r="CD166" s="51"/>
      <c r="CE166" s="51"/>
      <c r="CF166" s="51"/>
      <c r="CG166" s="51"/>
    </row>
    <row r="167" spans="1:85" ht="15.75" customHeight="1">
      <c r="A167" s="121"/>
      <c r="B167" s="242"/>
      <c r="C167" s="68" t="s">
        <v>318</v>
      </c>
      <c r="D167" s="243" t="s">
        <v>319</v>
      </c>
      <c r="E167" s="57">
        <v>0</v>
      </c>
      <c r="F167" s="57">
        <v>0</v>
      </c>
      <c r="G167" s="58">
        <f t="shared" ref="G167:G174" si="792">E167-F167</f>
        <v>0</v>
      </c>
      <c r="H167" s="57">
        <v>0</v>
      </c>
      <c r="I167" s="59">
        <f t="shared" si="732"/>
        <v>0</v>
      </c>
      <c r="J167" s="59">
        <f t="shared" si="733"/>
        <v>0</v>
      </c>
      <c r="K167" s="74">
        <v>0</v>
      </c>
      <c r="L167" s="74">
        <v>0</v>
      </c>
      <c r="M167" s="74">
        <v>0</v>
      </c>
      <c r="N167" s="74">
        <v>0</v>
      </c>
      <c r="O167" s="61">
        <f t="shared" ref="O167:Q167" si="793">AA167+AD167+AG167+AJ167+AM167+AP167+AS167+AV167+AY167+BB167+BE167+BH167</f>
        <v>0</v>
      </c>
      <c r="P167" s="61">
        <f t="shared" si="793"/>
        <v>0</v>
      </c>
      <c r="Q167" s="61">
        <f t="shared" si="793"/>
        <v>0</v>
      </c>
      <c r="R167" s="61">
        <f t="shared" ref="R167:T167" si="794">IF(BK167=0,SUM(AA167+AD167+AG167+AJ167+AM167+AP167+AS167+AV167+AY167+BB167+BE167+BH167),BK167)</f>
        <v>0</v>
      </c>
      <c r="S167" s="61">
        <f t="shared" si="794"/>
        <v>0</v>
      </c>
      <c r="T167" s="61">
        <f t="shared" si="794"/>
        <v>0</v>
      </c>
      <c r="U167" s="63">
        <f t="shared" ref="U167:U174" si="795">K167-O167</f>
        <v>0</v>
      </c>
      <c r="V167" s="63">
        <f t="shared" ref="V167:V174" si="796">L167-M167-S167</f>
        <v>0</v>
      </c>
      <c r="W167" s="63">
        <f t="shared" ref="W167:W174" si="797">N167-Q167</f>
        <v>0</v>
      </c>
      <c r="X167" s="64">
        <f t="shared" ref="X167:Y167" si="798">IF(O167&gt;0,O167/K167,0)</f>
        <v>0</v>
      </c>
      <c r="Y167" s="64">
        <f t="shared" si="798"/>
        <v>0</v>
      </c>
      <c r="Z167" s="64">
        <f t="shared" si="729"/>
        <v>0</v>
      </c>
      <c r="AA167" s="65"/>
      <c r="AB167" s="65"/>
      <c r="AC167" s="65"/>
      <c r="AD167" s="65"/>
      <c r="AE167" s="66"/>
      <c r="AF167" s="66"/>
      <c r="AG167" s="66"/>
      <c r="AH167" s="66"/>
      <c r="AI167" s="65"/>
      <c r="AJ167" s="65"/>
      <c r="AK167" s="65"/>
      <c r="AL167" s="65"/>
      <c r="AM167" s="65"/>
      <c r="AN167" s="65"/>
      <c r="AO167" s="65"/>
      <c r="AP167" s="65"/>
      <c r="AQ167" s="65"/>
      <c r="AR167" s="65"/>
      <c r="AS167" s="65"/>
      <c r="AT167" s="65"/>
      <c r="AU167" s="65"/>
      <c r="AV167" s="65"/>
      <c r="AW167" s="65"/>
      <c r="AX167" s="65"/>
      <c r="AY167" s="65"/>
      <c r="AZ167" s="65"/>
      <c r="BA167" s="65"/>
      <c r="BB167" s="65"/>
      <c r="BC167" s="65"/>
      <c r="BD167" s="65"/>
      <c r="BE167" s="65"/>
      <c r="BF167" s="65"/>
      <c r="BG167" s="65"/>
      <c r="BH167" s="244"/>
      <c r="BI167" s="244"/>
      <c r="BJ167" s="244"/>
      <c r="BK167" s="65">
        <v>0</v>
      </c>
      <c r="BL167" s="65">
        <v>0</v>
      </c>
      <c r="BM167" s="65">
        <v>0</v>
      </c>
      <c r="BN167" s="65">
        <f t="shared" ref="BN167:BN174" si="799">IF(O167-BK167&gt;0,O167-BK167,0)</f>
        <v>0</v>
      </c>
      <c r="BO167" s="67">
        <f t="shared" ref="BO167:BO174" si="800">IF(Q167-BM167&gt;0,Q167-BM167,0)</f>
        <v>0</v>
      </c>
      <c r="BP167" s="65">
        <f t="shared" ref="BP167:BP174" si="801">IF(BN167+BO167&gt;0,BN167+BO167,0)</f>
        <v>0</v>
      </c>
      <c r="BQ167" s="65">
        <f t="shared" ref="BQ167:BQ174" si="802">IF(U167=0,0,U167)</f>
        <v>0</v>
      </c>
      <c r="BR167" s="65">
        <f t="shared" ref="BR167:BR174" si="803">IF(W167=0,0,W167)</f>
        <v>0</v>
      </c>
      <c r="BS167" s="65">
        <f t="shared" ref="BS167:BS174" si="804">IF(BQ167+BR167&gt;0,BQ167+BR167,0)</f>
        <v>0</v>
      </c>
      <c r="BT167" s="65">
        <f t="shared" ref="BT167:BT174" si="805">IF(V167&gt;0,V167,0)</f>
        <v>0</v>
      </c>
      <c r="BU167" s="65">
        <f t="shared" ref="BU167:BU174" si="806">IF(BP167=0,0,BP167)</f>
        <v>0</v>
      </c>
      <c r="BV167" s="65">
        <f t="shared" ref="BV167:BV174" si="807">IF(BS167=0,0,BS167)</f>
        <v>0</v>
      </c>
      <c r="BW167" s="65">
        <f t="shared" ref="BW167:BW174" si="808">IF(BP167+BT167+BV167&gt;0,BP167+BT167+BV167,0)</f>
        <v>0</v>
      </c>
      <c r="BX167" s="6"/>
      <c r="BY167" s="6"/>
      <c r="BZ167" s="6"/>
      <c r="CA167" s="6"/>
      <c r="CB167" s="6"/>
      <c r="CC167" s="6"/>
      <c r="CD167" s="6"/>
      <c r="CE167" s="6"/>
      <c r="CF167" s="6"/>
      <c r="CG167" s="6"/>
    </row>
    <row r="168" spans="1:85" ht="15.75" customHeight="1">
      <c r="A168" s="121"/>
      <c r="B168" s="242"/>
      <c r="C168" s="68" t="s">
        <v>318</v>
      </c>
      <c r="D168" s="243" t="s">
        <v>320</v>
      </c>
      <c r="E168" s="57">
        <v>0</v>
      </c>
      <c r="F168" s="57">
        <v>0</v>
      </c>
      <c r="G168" s="58">
        <f t="shared" si="792"/>
        <v>0</v>
      </c>
      <c r="H168" s="57">
        <v>0</v>
      </c>
      <c r="I168" s="59">
        <f t="shared" si="732"/>
        <v>0</v>
      </c>
      <c r="J168" s="59">
        <f t="shared" si="733"/>
        <v>0</v>
      </c>
      <c r="K168" s="74">
        <v>0</v>
      </c>
      <c r="L168" s="74">
        <v>0</v>
      </c>
      <c r="M168" s="74">
        <v>0</v>
      </c>
      <c r="N168" s="74">
        <v>0</v>
      </c>
      <c r="O168" s="61">
        <f t="shared" ref="O168:Q168" si="809">AA168+AD168+AG168+AJ168+AM168+AP168+AS168+AV168+AY168+BB168+BE168+BH168</f>
        <v>0</v>
      </c>
      <c r="P168" s="61">
        <f t="shared" si="809"/>
        <v>0</v>
      </c>
      <c r="Q168" s="61">
        <f t="shared" si="809"/>
        <v>0</v>
      </c>
      <c r="R168" s="61">
        <f t="shared" ref="R168:T168" si="810">IF(BK168=0,SUM(AA168+AD168+AG168+AJ168+AM168+AP168+AS168+AV168+AY168+BB168+BE168+BH168),BK168)</f>
        <v>0</v>
      </c>
      <c r="S168" s="61">
        <f t="shared" si="810"/>
        <v>0</v>
      </c>
      <c r="T168" s="61">
        <f t="shared" si="810"/>
        <v>0</v>
      </c>
      <c r="U168" s="63">
        <f t="shared" si="795"/>
        <v>0</v>
      </c>
      <c r="V168" s="63">
        <f t="shared" si="796"/>
        <v>0</v>
      </c>
      <c r="W168" s="63">
        <f t="shared" si="797"/>
        <v>0</v>
      </c>
      <c r="X168" s="64">
        <f t="shared" ref="X168:Y168" si="811">IF(O168&gt;0,O168/K168,0)</f>
        <v>0</v>
      </c>
      <c r="Y168" s="64">
        <f t="shared" si="811"/>
        <v>0</v>
      </c>
      <c r="Z168" s="64">
        <f t="shared" si="729"/>
        <v>0</v>
      </c>
      <c r="AA168" s="65"/>
      <c r="AB168" s="65"/>
      <c r="AC168" s="65"/>
      <c r="AD168" s="65"/>
      <c r="AE168" s="66"/>
      <c r="AF168" s="66"/>
      <c r="AG168" s="66"/>
      <c r="AH168" s="66"/>
      <c r="AI168" s="65"/>
      <c r="AJ168" s="65"/>
      <c r="AK168" s="65"/>
      <c r="AL168" s="65"/>
      <c r="AM168" s="65"/>
      <c r="AN168" s="65"/>
      <c r="AO168" s="65"/>
      <c r="AP168" s="65"/>
      <c r="AQ168" s="65"/>
      <c r="AR168" s="65"/>
      <c r="AS168" s="65"/>
      <c r="AT168" s="65"/>
      <c r="AU168" s="65"/>
      <c r="AV168" s="65"/>
      <c r="AW168" s="65"/>
      <c r="AX168" s="65"/>
      <c r="AY168" s="65"/>
      <c r="AZ168" s="65"/>
      <c r="BA168" s="65"/>
      <c r="BB168" s="65"/>
      <c r="BC168" s="65"/>
      <c r="BD168" s="65"/>
      <c r="BE168" s="65"/>
      <c r="BF168" s="65"/>
      <c r="BG168" s="65"/>
      <c r="BH168" s="244"/>
      <c r="BI168" s="244"/>
      <c r="BJ168" s="244"/>
      <c r="BK168" s="65">
        <v>0</v>
      </c>
      <c r="BL168" s="65">
        <v>0</v>
      </c>
      <c r="BM168" s="65">
        <v>0</v>
      </c>
      <c r="BN168" s="65">
        <f t="shared" si="799"/>
        <v>0</v>
      </c>
      <c r="BO168" s="67">
        <f t="shared" si="800"/>
        <v>0</v>
      </c>
      <c r="BP168" s="65">
        <f t="shared" si="801"/>
        <v>0</v>
      </c>
      <c r="BQ168" s="65">
        <f t="shared" si="802"/>
        <v>0</v>
      </c>
      <c r="BR168" s="65">
        <f t="shared" si="803"/>
        <v>0</v>
      </c>
      <c r="BS168" s="65">
        <f t="shared" si="804"/>
        <v>0</v>
      </c>
      <c r="BT168" s="65">
        <f t="shared" si="805"/>
        <v>0</v>
      </c>
      <c r="BU168" s="65">
        <f t="shared" si="806"/>
        <v>0</v>
      </c>
      <c r="BV168" s="65">
        <f t="shared" si="807"/>
        <v>0</v>
      </c>
      <c r="BW168" s="65">
        <f t="shared" si="808"/>
        <v>0</v>
      </c>
      <c r="BX168" s="6"/>
      <c r="BY168" s="6"/>
      <c r="BZ168" s="6"/>
      <c r="CA168" s="6"/>
      <c r="CB168" s="6"/>
      <c r="CC168" s="6"/>
      <c r="CD168" s="6"/>
      <c r="CE168" s="6"/>
      <c r="CF168" s="6"/>
      <c r="CG168" s="6"/>
    </row>
    <row r="169" spans="1:85" ht="15.75" customHeight="1">
      <c r="A169" s="121"/>
      <c r="B169" s="242" t="s">
        <v>321</v>
      </c>
      <c r="C169" s="68" t="s">
        <v>322</v>
      </c>
      <c r="D169" s="243" t="s">
        <v>323</v>
      </c>
      <c r="E169" s="57">
        <v>0</v>
      </c>
      <c r="F169" s="57">
        <v>0</v>
      </c>
      <c r="G169" s="58">
        <f t="shared" si="792"/>
        <v>0</v>
      </c>
      <c r="H169" s="57">
        <v>0</v>
      </c>
      <c r="I169" s="59">
        <f t="shared" si="732"/>
        <v>0</v>
      </c>
      <c r="J169" s="59">
        <f t="shared" si="733"/>
        <v>0</v>
      </c>
      <c r="K169" s="74">
        <v>0</v>
      </c>
      <c r="L169" s="245">
        <v>210853.11</v>
      </c>
      <c r="M169" s="74">
        <v>0</v>
      </c>
      <c r="N169" s="74">
        <v>0</v>
      </c>
      <c r="O169" s="61">
        <f t="shared" ref="O169:Q169" si="812">AA169+AD169+AG169+AJ169+AM169+AP169+AS169+AV169+AY169+BB169+BE169+BH169</f>
        <v>0</v>
      </c>
      <c r="P169" s="61">
        <f t="shared" si="812"/>
        <v>210853.11</v>
      </c>
      <c r="Q169" s="61">
        <f t="shared" si="812"/>
        <v>0</v>
      </c>
      <c r="R169" s="61">
        <f t="shared" ref="R169:T169" si="813">IF(BK169=0,SUM(AA169+AD169+AG169+AJ169+AM169+AP169+AS169+AV169+AY169+BB169+BE169+BH169),BK169)</f>
        <v>0</v>
      </c>
      <c r="S169" s="61">
        <f t="shared" si="813"/>
        <v>210853.11</v>
      </c>
      <c r="T169" s="61">
        <f t="shared" si="813"/>
        <v>0</v>
      </c>
      <c r="U169" s="63">
        <f t="shared" si="795"/>
        <v>0</v>
      </c>
      <c r="V169" s="63">
        <f t="shared" si="796"/>
        <v>0</v>
      </c>
      <c r="W169" s="63">
        <f t="shared" si="797"/>
        <v>0</v>
      </c>
      <c r="X169" s="64">
        <f t="shared" ref="X169:Y169" si="814">IF(O169&gt;0,O169/K169,0)</f>
        <v>0</v>
      </c>
      <c r="Y169" s="64">
        <f t="shared" si="814"/>
        <v>1</v>
      </c>
      <c r="Z169" s="64">
        <f t="shared" si="729"/>
        <v>0</v>
      </c>
      <c r="AA169" s="65"/>
      <c r="AB169" s="65">
        <f>210853.11</f>
        <v>210853.11</v>
      </c>
      <c r="AC169" s="65"/>
      <c r="AD169" s="65"/>
      <c r="AE169" s="66"/>
      <c r="AF169" s="66"/>
      <c r="AG169" s="66"/>
      <c r="AH169" s="66"/>
      <c r="AI169" s="65"/>
      <c r="AJ169" s="65"/>
      <c r="AK169" s="65"/>
      <c r="AL169" s="65"/>
      <c r="AM169" s="65"/>
      <c r="AN169" s="65"/>
      <c r="AO169" s="65"/>
      <c r="AP169" s="65"/>
      <c r="AQ169" s="65"/>
      <c r="AR169" s="65"/>
      <c r="AS169" s="65"/>
      <c r="AT169" s="65"/>
      <c r="AU169" s="65"/>
      <c r="AV169" s="65"/>
      <c r="AW169" s="65"/>
      <c r="AX169" s="65"/>
      <c r="AY169" s="65"/>
      <c r="AZ169" s="65"/>
      <c r="BA169" s="65"/>
      <c r="BB169" s="65"/>
      <c r="BC169" s="65"/>
      <c r="BD169" s="65"/>
      <c r="BE169" s="65"/>
      <c r="BF169" s="65"/>
      <c r="BG169" s="65"/>
      <c r="BH169" s="244"/>
      <c r="BI169" s="244"/>
      <c r="BJ169" s="244"/>
      <c r="BK169" s="65">
        <v>0</v>
      </c>
      <c r="BL169" s="65">
        <v>0</v>
      </c>
      <c r="BM169" s="65">
        <v>0</v>
      </c>
      <c r="BN169" s="65">
        <f t="shared" si="799"/>
        <v>0</v>
      </c>
      <c r="BO169" s="67">
        <f t="shared" si="800"/>
        <v>0</v>
      </c>
      <c r="BP169" s="65">
        <f t="shared" si="801"/>
        <v>0</v>
      </c>
      <c r="BQ169" s="65">
        <f t="shared" si="802"/>
        <v>0</v>
      </c>
      <c r="BR169" s="65">
        <f t="shared" si="803"/>
        <v>0</v>
      </c>
      <c r="BS169" s="65">
        <f t="shared" si="804"/>
        <v>0</v>
      </c>
      <c r="BT169" s="65">
        <f t="shared" si="805"/>
        <v>0</v>
      </c>
      <c r="BU169" s="65">
        <f t="shared" si="806"/>
        <v>0</v>
      </c>
      <c r="BV169" s="65">
        <f t="shared" si="807"/>
        <v>0</v>
      </c>
      <c r="BW169" s="65">
        <f t="shared" si="808"/>
        <v>0</v>
      </c>
      <c r="BX169" s="6"/>
      <c r="BY169" s="6"/>
      <c r="BZ169" s="6"/>
      <c r="CA169" s="6"/>
      <c r="CB169" s="6"/>
      <c r="CC169" s="6"/>
      <c r="CD169" s="6"/>
      <c r="CE169" s="6"/>
      <c r="CF169" s="6"/>
      <c r="CG169" s="6"/>
    </row>
    <row r="170" spans="1:85" ht="15.75" customHeight="1">
      <c r="A170" s="121"/>
      <c r="B170" s="242"/>
      <c r="C170" s="68" t="s">
        <v>322</v>
      </c>
      <c r="D170" s="243" t="s">
        <v>324</v>
      </c>
      <c r="E170" s="57">
        <v>0</v>
      </c>
      <c r="F170" s="57">
        <v>0</v>
      </c>
      <c r="G170" s="58">
        <f t="shared" si="792"/>
        <v>0</v>
      </c>
      <c r="H170" s="57">
        <v>0</v>
      </c>
      <c r="I170" s="59">
        <f t="shared" si="732"/>
        <v>0</v>
      </c>
      <c r="J170" s="59">
        <f t="shared" si="733"/>
        <v>0</v>
      </c>
      <c r="K170" s="74">
        <v>0</v>
      </c>
      <c r="L170" s="74">
        <v>0</v>
      </c>
      <c r="M170" s="74">
        <v>0</v>
      </c>
      <c r="N170" s="74">
        <v>0</v>
      </c>
      <c r="O170" s="61">
        <f t="shared" ref="O170:Q170" si="815">AA170+AD170+AG170+AJ170+AM170+AP170+AS170+AV170+AY170+BB170+BE170+BH170</f>
        <v>0</v>
      </c>
      <c r="P170" s="61">
        <f t="shared" si="815"/>
        <v>0</v>
      </c>
      <c r="Q170" s="61">
        <f t="shared" si="815"/>
        <v>0</v>
      </c>
      <c r="R170" s="61">
        <f t="shared" ref="R170:T170" si="816">IF(BK170=0,SUM(AA170+AD170+AG170+AJ170+AM170+AP170+AS170+AV170+AY170+BB170+BE170+BH170),BK170)</f>
        <v>0</v>
      </c>
      <c r="S170" s="61">
        <f t="shared" si="816"/>
        <v>0</v>
      </c>
      <c r="T170" s="61">
        <f t="shared" si="816"/>
        <v>0</v>
      </c>
      <c r="U170" s="63">
        <f t="shared" si="795"/>
        <v>0</v>
      </c>
      <c r="V170" s="63">
        <f t="shared" si="796"/>
        <v>0</v>
      </c>
      <c r="W170" s="63">
        <f t="shared" si="797"/>
        <v>0</v>
      </c>
      <c r="X170" s="64">
        <f t="shared" ref="X170:Y170" si="817">IF(O170&gt;0,O170/K170,0)</f>
        <v>0</v>
      </c>
      <c r="Y170" s="64">
        <f t="shared" si="817"/>
        <v>0</v>
      </c>
      <c r="Z170" s="64">
        <f t="shared" si="729"/>
        <v>0</v>
      </c>
      <c r="AA170" s="65"/>
      <c r="AB170" s="65"/>
      <c r="AC170" s="65"/>
      <c r="AD170" s="65"/>
      <c r="AE170" s="66"/>
      <c r="AF170" s="66"/>
      <c r="AG170" s="66"/>
      <c r="AH170" s="66"/>
      <c r="AI170" s="65"/>
      <c r="AJ170" s="65"/>
      <c r="AK170" s="65"/>
      <c r="AL170" s="65"/>
      <c r="AM170" s="65"/>
      <c r="AN170" s="65"/>
      <c r="AO170" s="65"/>
      <c r="AP170" s="65"/>
      <c r="AQ170" s="65"/>
      <c r="AR170" s="65"/>
      <c r="AS170" s="65"/>
      <c r="AT170" s="65"/>
      <c r="AU170" s="65"/>
      <c r="AV170" s="65"/>
      <c r="AW170" s="65"/>
      <c r="AX170" s="65"/>
      <c r="AY170" s="65"/>
      <c r="AZ170" s="65"/>
      <c r="BA170" s="65"/>
      <c r="BB170" s="65"/>
      <c r="BC170" s="65"/>
      <c r="BD170" s="65"/>
      <c r="BE170" s="65"/>
      <c r="BF170" s="65"/>
      <c r="BG170" s="65"/>
      <c r="BH170" s="244"/>
      <c r="BI170" s="244"/>
      <c r="BJ170" s="244"/>
      <c r="BK170" s="65">
        <v>0</v>
      </c>
      <c r="BL170" s="65">
        <v>0</v>
      </c>
      <c r="BM170" s="65">
        <v>0</v>
      </c>
      <c r="BN170" s="65">
        <f t="shared" si="799"/>
        <v>0</v>
      </c>
      <c r="BO170" s="67">
        <f t="shared" si="800"/>
        <v>0</v>
      </c>
      <c r="BP170" s="65">
        <f t="shared" si="801"/>
        <v>0</v>
      </c>
      <c r="BQ170" s="65">
        <f t="shared" si="802"/>
        <v>0</v>
      </c>
      <c r="BR170" s="65">
        <f t="shared" si="803"/>
        <v>0</v>
      </c>
      <c r="BS170" s="65">
        <f t="shared" si="804"/>
        <v>0</v>
      </c>
      <c r="BT170" s="65">
        <f t="shared" si="805"/>
        <v>0</v>
      </c>
      <c r="BU170" s="65">
        <f t="shared" si="806"/>
        <v>0</v>
      </c>
      <c r="BV170" s="65">
        <f t="shared" si="807"/>
        <v>0</v>
      </c>
      <c r="BW170" s="65">
        <f t="shared" si="808"/>
        <v>0</v>
      </c>
      <c r="BX170" s="6"/>
      <c r="BY170" s="6"/>
      <c r="BZ170" s="6"/>
      <c r="CA170" s="6"/>
      <c r="CB170" s="6"/>
      <c r="CC170" s="6"/>
      <c r="CD170" s="6"/>
      <c r="CE170" s="6"/>
      <c r="CF170" s="6"/>
      <c r="CG170" s="6"/>
    </row>
    <row r="171" spans="1:85" ht="15.75" customHeight="1">
      <c r="A171" s="121"/>
      <c r="B171" s="242"/>
      <c r="C171" s="68" t="s">
        <v>325</v>
      </c>
      <c r="D171" s="243" t="s">
        <v>326</v>
      </c>
      <c r="E171" s="57">
        <v>0</v>
      </c>
      <c r="F171" s="57">
        <v>0</v>
      </c>
      <c r="G171" s="58">
        <f t="shared" si="792"/>
        <v>0</v>
      </c>
      <c r="H171" s="57">
        <v>0</v>
      </c>
      <c r="I171" s="59">
        <f t="shared" si="732"/>
        <v>0</v>
      </c>
      <c r="J171" s="59">
        <f t="shared" si="733"/>
        <v>0</v>
      </c>
      <c r="K171" s="74">
        <v>0</v>
      </c>
      <c r="L171" s="74">
        <v>0</v>
      </c>
      <c r="M171" s="74">
        <v>0</v>
      </c>
      <c r="N171" s="74">
        <v>0</v>
      </c>
      <c r="O171" s="61">
        <f t="shared" ref="O171:Q171" si="818">AA171+AD171+AG171+AJ171+AM171+AP171+AS171+AV171+AY171+BB171+BE171+BH171</f>
        <v>0</v>
      </c>
      <c r="P171" s="61">
        <f t="shared" si="818"/>
        <v>0</v>
      </c>
      <c r="Q171" s="61">
        <f t="shared" si="818"/>
        <v>0</v>
      </c>
      <c r="R171" s="61">
        <f t="shared" ref="R171:T171" si="819">IF(BK171=0,SUM(AA171+AD171+AG171+AJ171+AM171+AP171+AS171+AV171+AY171+BB171+BE171+BH171),BK171)</f>
        <v>0</v>
      </c>
      <c r="S171" s="61">
        <f t="shared" si="819"/>
        <v>0</v>
      </c>
      <c r="T171" s="61">
        <f t="shared" si="819"/>
        <v>0</v>
      </c>
      <c r="U171" s="63">
        <f t="shared" si="795"/>
        <v>0</v>
      </c>
      <c r="V171" s="63">
        <f t="shared" si="796"/>
        <v>0</v>
      </c>
      <c r="W171" s="63">
        <f t="shared" si="797"/>
        <v>0</v>
      </c>
      <c r="X171" s="64">
        <f t="shared" ref="X171:Y171" si="820">IF(O171&gt;0,O171/K171,0)</f>
        <v>0</v>
      </c>
      <c r="Y171" s="64">
        <f t="shared" si="820"/>
        <v>0</v>
      </c>
      <c r="Z171" s="64">
        <f t="shared" si="729"/>
        <v>0</v>
      </c>
      <c r="AA171" s="65"/>
      <c r="AB171" s="65"/>
      <c r="AC171" s="65"/>
      <c r="AD171" s="65"/>
      <c r="AE171" s="66"/>
      <c r="AF171" s="66"/>
      <c r="AG171" s="66"/>
      <c r="AH171" s="66"/>
      <c r="AI171" s="65"/>
      <c r="AJ171" s="65"/>
      <c r="AK171" s="65"/>
      <c r="AL171" s="65"/>
      <c r="AM171" s="65"/>
      <c r="AN171" s="65"/>
      <c r="AO171" s="65"/>
      <c r="AP171" s="65"/>
      <c r="AQ171" s="65"/>
      <c r="AR171" s="65"/>
      <c r="AS171" s="65"/>
      <c r="AT171" s="65"/>
      <c r="AU171" s="65"/>
      <c r="AV171" s="65"/>
      <c r="AW171" s="65"/>
      <c r="AX171" s="65"/>
      <c r="AY171" s="65"/>
      <c r="AZ171" s="65"/>
      <c r="BA171" s="65"/>
      <c r="BB171" s="65"/>
      <c r="BC171" s="65"/>
      <c r="BD171" s="65"/>
      <c r="BE171" s="65"/>
      <c r="BF171" s="65"/>
      <c r="BG171" s="65"/>
      <c r="BH171" s="244"/>
      <c r="BI171" s="244"/>
      <c r="BJ171" s="244"/>
      <c r="BK171" s="65">
        <v>0</v>
      </c>
      <c r="BL171" s="65">
        <v>0</v>
      </c>
      <c r="BM171" s="65">
        <v>0</v>
      </c>
      <c r="BN171" s="65">
        <f t="shared" si="799"/>
        <v>0</v>
      </c>
      <c r="BO171" s="67">
        <f t="shared" si="800"/>
        <v>0</v>
      </c>
      <c r="BP171" s="65">
        <f t="shared" si="801"/>
        <v>0</v>
      </c>
      <c r="BQ171" s="65">
        <f t="shared" si="802"/>
        <v>0</v>
      </c>
      <c r="BR171" s="65">
        <f t="shared" si="803"/>
        <v>0</v>
      </c>
      <c r="BS171" s="65">
        <f t="shared" si="804"/>
        <v>0</v>
      </c>
      <c r="BT171" s="65">
        <f t="shared" si="805"/>
        <v>0</v>
      </c>
      <c r="BU171" s="65">
        <f t="shared" si="806"/>
        <v>0</v>
      </c>
      <c r="BV171" s="65">
        <f t="shared" si="807"/>
        <v>0</v>
      </c>
      <c r="BW171" s="65">
        <f t="shared" si="808"/>
        <v>0</v>
      </c>
      <c r="BX171" s="6"/>
      <c r="BY171" s="6"/>
      <c r="BZ171" s="6"/>
      <c r="CA171" s="6"/>
      <c r="CB171" s="6"/>
      <c r="CC171" s="6"/>
      <c r="CD171" s="6"/>
      <c r="CE171" s="6"/>
      <c r="CF171" s="6"/>
      <c r="CG171" s="6"/>
    </row>
    <row r="172" spans="1:85" ht="15.75" customHeight="1">
      <c r="A172" s="121"/>
      <c r="B172" s="242"/>
      <c r="C172" s="68" t="s">
        <v>325</v>
      </c>
      <c r="D172" s="243" t="s">
        <v>327</v>
      </c>
      <c r="E172" s="57">
        <v>0</v>
      </c>
      <c r="F172" s="57">
        <v>0</v>
      </c>
      <c r="G172" s="58">
        <f t="shared" si="792"/>
        <v>0</v>
      </c>
      <c r="H172" s="57">
        <v>0</v>
      </c>
      <c r="I172" s="59">
        <f t="shared" si="732"/>
        <v>0</v>
      </c>
      <c r="J172" s="59">
        <f t="shared" si="733"/>
        <v>0</v>
      </c>
      <c r="K172" s="74">
        <v>0</v>
      </c>
      <c r="L172" s="74">
        <v>0</v>
      </c>
      <c r="M172" s="74">
        <v>0</v>
      </c>
      <c r="N172" s="74">
        <v>0</v>
      </c>
      <c r="O172" s="61">
        <f t="shared" ref="O172:Q172" si="821">AA172+AD172+AG172+AJ172+AM172+AP172+AS172+AV172+AY172+BB172+BE172+BH172</f>
        <v>0</v>
      </c>
      <c r="P172" s="61">
        <f t="shared" si="821"/>
        <v>0</v>
      </c>
      <c r="Q172" s="61">
        <f t="shared" si="821"/>
        <v>0</v>
      </c>
      <c r="R172" s="61">
        <f t="shared" ref="R172:T172" si="822">IF(BK172=0,SUM(AA172+AD172+AG172+AJ172+AM172+AP172+AS172+AV172+AY172+BB172+BE172+BH172),BK172)</f>
        <v>0</v>
      </c>
      <c r="S172" s="61">
        <f t="shared" si="822"/>
        <v>0</v>
      </c>
      <c r="T172" s="61">
        <f t="shared" si="822"/>
        <v>0</v>
      </c>
      <c r="U172" s="63">
        <f t="shared" si="795"/>
        <v>0</v>
      </c>
      <c r="V172" s="63">
        <f t="shared" si="796"/>
        <v>0</v>
      </c>
      <c r="W172" s="63">
        <f t="shared" si="797"/>
        <v>0</v>
      </c>
      <c r="X172" s="64">
        <f t="shared" ref="X172:Y172" si="823">IF(O172&gt;0,O172/K172,0)</f>
        <v>0</v>
      </c>
      <c r="Y172" s="64">
        <f t="shared" si="823"/>
        <v>0</v>
      </c>
      <c r="Z172" s="64">
        <f t="shared" si="729"/>
        <v>0</v>
      </c>
      <c r="AA172" s="65"/>
      <c r="AB172" s="65"/>
      <c r="AC172" s="65"/>
      <c r="AD172" s="65"/>
      <c r="AE172" s="66"/>
      <c r="AF172" s="66"/>
      <c r="AG172" s="66"/>
      <c r="AH172" s="66"/>
      <c r="AI172" s="65"/>
      <c r="AJ172" s="65"/>
      <c r="AK172" s="65"/>
      <c r="AL172" s="65"/>
      <c r="AM172" s="65"/>
      <c r="AN172" s="65"/>
      <c r="AO172" s="65"/>
      <c r="AP172" s="65"/>
      <c r="AQ172" s="65"/>
      <c r="AR172" s="65"/>
      <c r="AS172" s="65"/>
      <c r="AT172" s="65"/>
      <c r="AU172" s="65"/>
      <c r="AV172" s="65"/>
      <c r="AW172" s="65"/>
      <c r="AX172" s="65"/>
      <c r="AY172" s="65"/>
      <c r="AZ172" s="65"/>
      <c r="BA172" s="65"/>
      <c r="BB172" s="65"/>
      <c r="BC172" s="65"/>
      <c r="BD172" s="65"/>
      <c r="BE172" s="65"/>
      <c r="BF172" s="65"/>
      <c r="BG172" s="65"/>
      <c r="BH172" s="244"/>
      <c r="BI172" s="244"/>
      <c r="BJ172" s="244"/>
      <c r="BK172" s="65">
        <v>0</v>
      </c>
      <c r="BL172" s="65">
        <v>0</v>
      </c>
      <c r="BM172" s="65">
        <v>0</v>
      </c>
      <c r="BN172" s="65">
        <f t="shared" si="799"/>
        <v>0</v>
      </c>
      <c r="BO172" s="67">
        <f t="shared" si="800"/>
        <v>0</v>
      </c>
      <c r="BP172" s="65">
        <f t="shared" si="801"/>
        <v>0</v>
      </c>
      <c r="BQ172" s="65">
        <f t="shared" si="802"/>
        <v>0</v>
      </c>
      <c r="BR172" s="65">
        <f t="shared" si="803"/>
        <v>0</v>
      </c>
      <c r="BS172" s="65">
        <f t="shared" si="804"/>
        <v>0</v>
      </c>
      <c r="BT172" s="65">
        <f t="shared" si="805"/>
        <v>0</v>
      </c>
      <c r="BU172" s="65">
        <f t="shared" si="806"/>
        <v>0</v>
      </c>
      <c r="BV172" s="65">
        <f t="shared" si="807"/>
        <v>0</v>
      </c>
      <c r="BW172" s="65">
        <f t="shared" si="808"/>
        <v>0</v>
      </c>
      <c r="BX172" s="6"/>
      <c r="BY172" s="6"/>
      <c r="BZ172" s="6"/>
      <c r="CA172" s="6"/>
      <c r="CB172" s="6"/>
      <c r="CC172" s="6"/>
      <c r="CD172" s="6"/>
      <c r="CE172" s="6"/>
      <c r="CF172" s="6"/>
      <c r="CG172" s="6"/>
    </row>
    <row r="173" spans="1:85" ht="15.75" customHeight="1">
      <c r="A173" s="196"/>
      <c r="B173" s="246"/>
      <c r="C173" s="68" t="s">
        <v>325</v>
      </c>
      <c r="D173" s="243" t="s">
        <v>328</v>
      </c>
      <c r="E173" s="57">
        <v>0</v>
      </c>
      <c r="F173" s="57">
        <v>0</v>
      </c>
      <c r="G173" s="58">
        <f t="shared" si="792"/>
        <v>0</v>
      </c>
      <c r="H173" s="57">
        <v>0</v>
      </c>
      <c r="I173" s="59">
        <f t="shared" si="732"/>
        <v>0</v>
      </c>
      <c r="J173" s="59">
        <f t="shared" si="733"/>
        <v>0</v>
      </c>
      <c r="K173" s="74">
        <v>0</v>
      </c>
      <c r="L173" s="74">
        <v>0</v>
      </c>
      <c r="M173" s="74">
        <v>0</v>
      </c>
      <c r="N173" s="74">
        <v>0</v>
      </c>
      <c r="O173" s="61">
        <f t="shared" ref="O173:Q173" si="824">AA173+AD173+AG173+AJ173+AM173+AP173+AS173+AV173+AY173+BB173+BE173+BH173</f>
        <v>0</v>
      </c>
      <c r="P173" s="61">
        <f t="shared" si="824"/>
        <v>0</v>
      </c>
      <c r="Q173" s="61">
        <f t="shared" si="824"/>
        <v>0</v>
      </c>
      <c r="R173" s="61">
        <f t="shared" ref="R173:T173" si="825">IF(BK173=0,SUM(AA173+AD173+AG173+AJ173+AM173+AP173+AS173+AV173+AY173+BB173+BE173+BH173),BK173)</f>
        <v>0</v>
      </c>
      <c r="S173" s="61">
        <f t="shared" si="825"/>
        <v>0</v>
      </c>
      <c r="T173" s="61">
        <f t="shared" si="825"/>
        <v>0</v>
      </c>
      <c r="U173" s="63">
        <f t="shared" si="795"/>
        <v>0</v>
      </c>
      <c r="V173" s="63">
        <f t="shared" si="796"/>
        <v>0</v>
      </c>
      <c r="W173" s="63">
        <f t="shared" si="797"/>
        <v>0</v>
      </c>
      <c r="X173" s="64">
        <f t="shared" ref="X173:Y173" si="826">IF(O173&gt;0,O173/K173,0)</f>
        <v>0</v>
      </c>
      <c r="Y173" s="64">
        <f t="shared" si="826"/>
        <v>0</v>
      </c>
      <c r="Z173" s="64">
        <f t="shared" si="729"/>
        <v>0</v>
      </c>
      <c r="AA173" s="65"/>
      <c r="AB173" s="65"/>
      <c r="AC173" s="65"/>
      <c r="AD173" s="65"/>
      <c r="AE173" s="66"/>
      <c r="AF173" s="66"/>
      <c r="AG173" s="66"/>
      <c r="AH173" s="66"/>
      <c r="AI173" s="65"/>
      <c r="AJ173" s="65"/>
      <c r="AK173" s="65"/>
      <c r="AL173" s="65"/>
      <c r="AM173" s="65"/>
      <c r="AN173" s="65"/>
      <c r="AO173" s="65"/>
      <c r="AP173" s="65"/>
      <c r="AQ173" s="65"/>
      <c r="AR173" s="65"/>
      <c r="AS173" s="65"/>
      <c r="AT173" s="65"/>
      <c r="AU173" s="65"/>
      <c r="AV173" s="65"/>
      <c r="AW173" s="65"/>
      <c r="AX173" s="65"/>
      <c r="AY173" s="65"/>
      <c r="AZ173" s="65"/>
      <c r="BA173" s="65"/>
      <c r="BB173" s="65"/>
      <c r="BC173" s="65"/>
      <c r="BD173" s="65"/>
      <c r="BE173" s="65"/>
      <c r="BF173" s="65"/>
      <c r="BG173" s="65"/>
      <c r="BH173" s="244"/>
      <c r="BI173" s="244"/>
      <c r="BJ173" s="244"/>
      <c r="BK173" s="65">
        <v>0</v>
      </c>
      <c r="BL173" s="65">
        <v>0</v>
      </c>
      <c r="BM173" s="65">
        <v>0</v>
      </c>
      <c r="BN173" s="65">
        <f t="shared" si="799"/>
        <v>0</v>
      </c>
      <c r="BO173" s="67">
        <f t="shared" si="800"/>
        <v>0</v>
      </c>
      <c r="BP173" s="65">
        <f t="shared" si="801"/>
        <v>0</v>
      </c>
      <c r="BQ173" s="65">
        <f t="shared" si="802"/>
        <v>0</v>
      </c>
      <c r="BR173" s="65">
        <f t="shared" si="803"/>
        <v>0</v>
      </c>
      <c r="BS173" s="65">
        <f t="shared" si="804"/>
        <v>0</v>
      </c>
      <c r="BT173" s="65">
        <f t="shared" si="805"/>
        <v>0</v>
      </c>
      <c r="BU173" s="65">
        <f t="shared" si="806"/>
        <v>0</v>
      </c>
      <c r="BV173" s="65">
        <f t="shared" si="807"/>
        <v>0</v>
      </c>
      <c r="BW173" s="65">
        <f t="shared" si="808"/>
        <v>0</v>
      </c>
      <c r="BX173" s="6"/>
      <c r="BY173" s="6"/>
      <c r="BZ173" s="6"/>
      <c r="CA173" s="6"/>
      <c r="CB173" s="6"/>
      <c r="CC173" s="6"/>
      <c r="CD173" s="6"/>
      <c r="CE173" s="6"/>
      <c r="CF173" s="6"/>
      <c r="CG173" s="6"/>
    </row>
    <row r="174" spans="1:85" ht="15.75" customHeight="1">
      <c r="A174" s="121"/>
      <c r="B174" s="242"/>
      <c r="C174" s="68" t="s">
        <v>329</v>
      </c>
      <c r="D174" s="243" t="s">
        <v>330</v>
      </c>
      <c r="E174" s="57">
        <v>0</v>
      </c>
      <c r="F174" s="57">
        <v>0</v>
      </c>
      <c r="G174" s="58">
        <f t="shared" si="792"/>
        <v>0</v>
      </c>
      <c r="H174" s="57">
        <v>0</v>
      </c>
      <c r="I174" s="59">
        <f t="shared" si="732"/>
        <v>0</v>
      </c>
      <c r="J174" s="59">
        <f t="shared" si="733"/>
        <v>0</v>
      </c>
      <c r="K174" s="74">
        <v>0</v>
      </c>
      <c r="L174" s="74">
        <v>0</v>
      </c>
      <c r="M174" s="74">
        <v>0</v>
      </c>
      <c r="N174" s="74">
        <v>0</v>
      </c>
      <c r="O174" s="61">
        <f t="shared" ref="O174:Q174" si="827">AA174+AD174+AG174+AJ174+AM174+AP174+AS174+AV174+AY174+BB174+BE174+BH174</f>
        <v>0</v>
      </c>
      <c r="P174" s="61">
        <f t="shared" si="827"/>
        <v>0</v>
      </c>
      <c r="Q174" s="61">
        <f t="shared" si="827"/>
        <v>0</v>
      </c>
      <c r="R174" s="61">
        <f t="shared" ref="R174:T174" si="828">IF(BK174=0,SUM(AA174+AD174+AG174+AJ174+AM174+AP174+AS174+AV174+AY174+BB174+BE174+BH174),BK174)</f>
        <v>0</v>
      </c>
      <c r="S174" s="61">
        <f t="shared" si="828"/>
        <v>0</v>
      </c>
      <c r="T174" s="61">
        <f t="shared" si="828"/>
        <v>0</v>
      </c>
      <c r="U174" s="63">
        <f t="shared" si="795"/>
        <v>0</v>
      </c>
      <c r="V174" s="63">
        <f t="shared" si="796"/>
        <v>0</v>
      </c>
      <c r="W174" s="63">
        <f t="shared" si="797"/>
        <v>0</v>
      </c>
      <c r="X174" s="64">
        <f t="shared" ref="X174:Y174" si="829">IF(O174&gt;0,O174/K174,0)</f>
        <v>0</v>
      </c>
      <c r="Y174" s="64">
        <f t="shared" si="829"/>
        <v>0</v>
      </c>
      <c r="Z174" s="64">
        <f t="shared" si="729"/>
        <v>0</v>
      </c>
      <c r="AA174" s="65"/>
      <c r="AB174" s="65"/>
      <c r="AC174" s="65"/>
      <c r="AD174" s="65"/>
      <c r="AE174" s="66"/>
      <c r="AF174" s="66"/>
      <c r="AG174" s="66"/>
      <c r="AH174" s="66"/>
      <c r="AI174" s="65"/>
      <c r="AJ174" s="65"/>
      <c r="AK174" s="65"/>
      <c r="AL174" s="65"/>
      <c r="AM174" s="65"/>
      <c r="AN174" s="65"/>
      <c r="AO174" s="65"/>
      <c r="AP174" s="65"/>
      <c r="AQ174" s="65"/>
      <c r="AR174" s="65"/>
      <c r="AS174" s="65"/>
      <c r="AT174" s="65"/>
      <c r="AU174" s="65"/>
      <c r="AV174" s="65"/>
      <c r="AW174" s="65"/>
      <c r="AX174" s="65"/>
      <c r="AY174" s="65"/>
      <c r="AZ174" s="65"/>
      <c r="BA174" s="65"/>
      <c r="BB174" s="65"/>
      <c r="BC174" s="65"/>
      <c r="BD174" s="65"/>
      <c r="BE174" s="65"/>
      <c r="BF174" s="65"/>
      <c r="BG174" s="65"/>
      <c r="BH174" s="247"/>
      <c r="BI174" s="66"/>
      <c r="BJ174" s="66"/>
      <c r="BK174" s="65">
        <v>0</v>
      </c>
      <c r="BL174" s="65">
        <v>0</v>
      </c>
      <c r="BM174" s="65">
        <v>0</v>
      </c>
      <c r="BN174" s="65">
        <f t="shared" si="799"/>
        <v>0</v>
      </c>
      <c r="BO174" s="67">
        <f t="shared" si="800"/>
        <v>0</v>
      </c>
      <c r="BP174" s="65">
        <f t="shared" si="801"/>
        <v>0</v>
      </c>
      <c r="BQ174" s="65">
        <f t="shared" si="802"/>
        <v>0</v>
      </c>
      <c r="BR174" s="65">
        <f t="shared" si="803"/>
        <v>0</v>
      </c>
      <c r="BS174" s="65">
        <f t="shared" si="804"/>
        <v>0</v>
      </c>
      <c r="BT174" s="65">
        <f t="shared" si="805"/>
        <v>0</v>
      </c>
      <c r="BU174" s="65">
        <f t="shared" si="806"/>
        <v>0</v>
      </c>
      <c r="BV174" s="65">
        <f t="shared" si="807"/>
        <v>0</v>
      </c>
      <c r="BW174" s="65">
        <f t="shared" si="808"/>
        <v>0</v>
      </c>
      <c r="BX174" s="6"/>
      <c r="BY174" s="6"/>
      <c r="BZ174" s="6"/>
      <c r="CA174" s="6"/>
      <c r="CB174" s="6"/>
      <c r="CC174" s="6"/>
      <c r="CD174" s="6"/>
      <c r="CE174" s="6"/>
      <c r="CF174" s="6"/>
      <c r="CG174" s="6"/>
    </row>
    <row r="175" spans="1:85" ht="15.75" customHeight="1">
      <c r="A175" s="248"/>
      <c r="B175" s="249"/>
      <c r="C175" s="250"/>
      <c r="D175" s="251" t="s">
        <v>331</v>
      </c>
      <c r="E175" s="38">
        <f t="shared" ref="E175:H175" si="830">E176+E180+E182+E184</f>
        <v>71654.11</v>
      </c>
      <c r="F175" s="252">
        <f t="shared" si="830"/>
        <v>0</v>
      </c>
      <c r="G175" s="252">
        <f t="shared" si="830"/>
        <v>71654.11</v>
      </c>
      <c r="H175" s="252">
        <f t="shared" si="830"/>
        <v>0</v>
      </c>
      <c r="I175" s="39">
        <f t="shared" si="732"/>
        <v>0</v>
      </c>
      <c r="J175" s="39">
        <f t="shared" si="733"/>
        <v>0</v>
      </c>
      <c r="K175" s="252">
        <f t="shared" ref="K175:W175" si="831">K176+K180+K182+K184</f>
        <v>0</v>
      </c>
      <c r="L175" s="252">
        <f t="shared" si="831"/>
        <v>0</v>
      </c>
      <c r="M175" s="252">
        <f t="shared" si="831"/>
        <v>0</v>
      </c>
      <c r="N175" s="252">
        <f t="shared" si="831"/>
        <v>0</v>
      </c>
      <c r="O175" s="252">
        <f t="shared" si="831"/>
        <v>0</v>
      </c>
      <c r="P175" s="252">
        <f t="shared" si="831"/>
        <v>0</v>
      </c>
      <c r="Q175" s="252">
        <f t="shared" si="831"/>
        <v>0</v>
      </c>
      <c r="R175" s="252">
        <f t="shared" si="831"/>
        <v>0</v>
      </c>
      <c r="S175" s="252">
        <f t="shared" si="831"/>
        <v>0</v>
      </c>
      <c r="T175" s="252">
        <f t="shared" si="831"/>
        <v>0</v>
      </c>
      <c r="U175" s="252">
        <f t="shared" si="831"/>
        <v>0</v>
      </c>
      <c r="V175" s="252">
        <f t="shared" si="831"/>
        <v>0</v>
      </c>
      <c r="W175" s="252">
        <f t="shared" si="831"/>
        <v>0</v>
      </c>
      <c r="X175" s="40">
        <f t="shared" ref="X175:Y175" si="832">IF(O175&gt;0,O175/K175,0)</f>
        <v>0</v>
      </c>
      <c r="Y175" s="40">
        <f t="shared" si="832"/>
        <v>0</v>
      </c>
      <c r="Z175" s="40">
        <f t="shared" si="729"/>
        <v>0</v>
      </c>
      <c r="AA175" s="252">
        <f t="shared" ref="AA175:BW175" si="833">AA176+AA180+AA182+AA184</f>
        <v>0</v>
      </c>
      <c r="AB175" s="252">
        <f t="shared" si="833"/>
        <v>0</v>
      </c>
      <c r="AC175" s="252">
        <f t="shared" si="833"/>
        <v>0</v>
      </c>
      <c r="AD175" s="252">
        <f t="shared" si="833"/>
        <v>0</v>
      </c>
      <c r="AE175" s="252">
        <f t="shared" si="833"/>
        <v>0</v>
      </c>
      <c r="AF175" s="252">
        <f t="shared" si="833"/>
        <v>0</v>
      </c>
      <c r="AG175" s="252">
        <f t="shared" si="833"/>
        <v>0</v>
      </c>
      <c r="AH175" s="252">
        <f t="shared" si="833"/>
        <v>0</v>
      </c>
      <c r="AI175" s="252">
        <f t="shared" si="833"/>
        <v>0</v>
      </c>
      <c r="AJ175" s="252">
        <f t="shared" si="833"/>
        <v>0</v>
      </c>
      <c r="AK175" s="252">
        <f t="shared" si="833"/>
        <v>0</v>
      </c>
      <c r="AL175" s="252">
        <f t="shared" si="833"/>
        <v>0</v>
      </c>
      <c r="AM175" s="252">
        <f t="shared" si="833"/>
        <v>0</v>
      </c>
      <c r="AN175" s="252">
        <f t="shared" si="833"/>
        <v>0</v>
      </c>
      <c r="AO175" s="252">
        <f t="shared" si="833"/>
        <v>0</v>
      </c>
      <c r="AP175" s="252">
        <f t="shared" si="833"/>
        <v>0</v>
      </c>
      <c r="AQ175" s="252">
        <f t="shared" si="833"/>
        <v>0</v>
      </c>
      <c r="AR175" s="252">
        <f t="shared" si="833"/>
        <v>0</v>
      </c>
      <c r="AS175" s="252">
        <f t="shared" si="833"/>
        <v>0</v>
      </c>
      <c r="AT175" s="252">
        <f t="shared" si="833"/>
        <v>0</v>
      </c>
      <c r="AU175" s="252">
        <f t="shared" si="833"/>
        <v>0</v>
      </c>
      <c r="AV175" s="252">
        <f t="shared" si="833"/>
        <v>0</v>
      </c>
      <c r="AW175" s="252">
        <f t="shared" si="833"/>
        <v>0</v>
      </c>
      <c r="AX175" s="252">
        <f t="shared" si="833"/>
        <v>0</v>
      </c>
      <c r="AY175" s="252">
        <f t="shared" si="833"/>
        <v>0</v>
      </c>
      <c r="AZ175" s="252">
        <f t="shared" si="833"/>
        <v>0</v>
      </c>
      <c r="BA175" s="252">
        <f t="shared" si="833"/>
        <v>0</v>
      </c>
      <c r="BB175" s="252">
        <f t="shared" si="833"/>
        <v>0</v>
      </c>
      <c r="BC175" s="252">
        <f t="shared" si="833"/>
        <v>0</v>
      </c>
      <c r="BD175" s="252">
        <f t="shared" si="833"/>
        <v>0</v>
      </c>
      <c r="BE175" s="252">
        <f t="shared" si="833"/>
        <v>0</v>
      </c>
      <c r="BF175" s="252">
        <f t="shared" si="833"/>
        <v>0</v>
      </c>
      <c r="BG175" s="252">
        <f t="shared" si="833"/>
        <v>0</v>
      </c>
      <c r="BH175" s="252">
        <f t="shared" si="833"/>
        <v>0</v>
      </c>
      <c r="BI175" s="252">
        <f t="shared" si="833"/>
        <v>0</v>
      </c>
      <c r="BJ175" s="252">
        <f t="shared" si="833"/>
        <v>0</v>
      </c>
      <c r="BK175" s="252">
        <f t="shared" si="833"/>
        <v>0</v>
      </c>
      <c r="BL175" s="252">
        <f t="shared" si="833"/>
        <v>0</v>
      </c>
      <c r="BM175" s="252">
        <f t="shared" si="833"/>
        <v>0</v>
      </c>
      <c r="BN175" s="252">
        <f t="shared" si="833"/>
        <v>0</v>
      </c>
      <c r="BO175" s="252">
        <f t="shared" si="833"/>
        <v>0</v>
      </c>
      <c r="BP175" s="252">
        <f t="shared" si="833"/>
        <v>0</v>
      </c>
      <c r="BQ175" s="252">
        <f t="shared" si="833"/>
        <v>0</v>
      </c>
      <c r="BR175" s="252">
        <f t="shared" si="833"/>
        <v>0</v>
      </c>
      <c r="BS175" s="252">
        <f t="shared" si="833"/>
        <v>0</v>
      </c>
      <c r="BT175" s="252">
        <f t="shared" si="833"/>
        <v>0</v>
      </c>
      <c r="BU175" s="252">
        <f t="shared" si="833"/>
        <v>0</v>
      </c>
      <c r="BV175" s="252">
        <f t="shared" si="833"/>
        <v>0</v>
      </c>
      <c r="BW175" s="252">
        <f t="shared" si="833"/>
        <v>0</v>
      </c>
      <c r="BX175" s="6"/>
      <c r="BY175" s="6"/>
      <c r="BZ175" s="6"/>
      <c r="CA175" s="6"/>
      <c r="CB175" s="6"/>
      <c r="CC175" s="6"/>
      <c r="CD175" s="6"/>
      <c r="CE175" s="6"/>
      <c r="CF175" s="6"/>
      <c r="CG175" s="6"/>
    </row>
    <row r="176" spans="1:85" ht="15.75">
      <c r="A176" s="75"/>
      <c r="B176" s="76"/>
      <c r="C176" s="77"/>
      <c r="D176" s="78" t="s">
        <v>67</v>
      </c>
      <c r="E176" s="45">
        <f t="shared" ref="E176:H176" si="834">SUM(E177:E179)</f>
        <v>5000</v>
      </c>
      <c r="F176" s="46">
        <f t="shared" si="834"/>
        <v>0</v>
      </c>
      <c r="G176" s="46">
        <f t="shared" si="834"/>
        <v>5000</v>
      </c>
      <c r="H176" s="46">
        <f t="shared" si="834"/>
        <v>0</v>
      </c>
      <c r="I176" s="47">
        <f t="shared" si="732"/>
        <v>0</v>
      </c>
      <c r="J176" s="47">
        <f t="shared" si="733"/>
        <v>0</v>
      </c>
      <c r="K176" s="46">
        <f t="shared" ref="K176:W176" si="835">SUM(K177:K179)</f>
        <v>0</v>
      </c>
      <c r="L176" s="46">
        <f t="shared" si="835"/>
        <v>0</v>
      </c>
      <c r="M176" s="46">
        <f t="shared" si="835"/>
        <v>0</v>
      </c>
      <c r="N176" s="46">
        <f t="shared" si="835"/>
        <v>0</v>
      </c>
      <c r="O176" s="46">
        <f t="shared" si="835"/>
        <v>0</v>
      </c>
      <c r="P176" s="46">
        <f t="shared" si="835"/>
        <v>0</v>
      </c>
      <c r="Q176" s="46">
        <f t="shared" si="835"/>
        <v>0</v>
      </c>
      <c r="R176" s="46">
        <f t="shared" si="835"/>
        <v>0</v>
      </c>
      <c r="S176" s="46">
        <f t="shared" si="835"/>
        <v>0</v>
      </c>
      <c r="T176" s="46">
        <f t="shared" si="835"/>
        <v>0</v>
      </c>
      <c r="U176" s="46">
        <f t="shared" si="835"/>
        <v>0</v>
      </c>
      <c r="V176" s="46">
        <f t="shared" si="835"/>
        <v>0</v>
      </c>
      <c r="W176" s="46">
        <f t="shared" si="835"/>
        <v>0</v>
      </c>
      <c r="X176" s="50">
        <f t="shared" ref="X176:Y176" si="836">IF(O176&gt;0,O176/K176,0)</f>
        <v>0</v>
      </c>
      <c r="Y176" s="50">
        <f t="shared" si="836"/>
        <v>0</v>
      </c>
      <c r="Z176" s="50">
        <f t="shared" si="729"/>
        <v>0</v>
      </c>
      <c r="AA176" s="46">
        <f t="shared" ref="AA176:BW176" si="837">SUM(AA177:AA179)</f>
        <v>0</v>
      </c>
      <c r="AB176" s="46">
        <f t="shared" si="837"/>
        <v>0</v>
      </c>
      <c r="AC176" s="46">
        <f t="shared" si="837"/>
        <v>0</v>
      </c>
      <c r="AD176" s="46">
        <f t="shared" si="837"/>
        <v>0</v>
      </c>
      <c r="AE176" s="46">
        <f t="shared" si="837"/>
        <v>0</v>
      </c>
      <c r="AF176" s="46">
        <f t="shared" si="837"/>
        <v>0</v>
      </c>
      <c r="AG176" s="46">
        <f t="shared" si="837"/>
        <v>0</v>
      </c>
      <c r="AH176" s="46">
        <f t="shared" si="837"/>
        <v>0</v>
      </c>
      <c r="AI176" s="46">
        <f t="shared" si="837"/>
        <v>0</v>
      </c>
      <c r="AJ176" s="46">
        <f t="shared" si="837"/>
        <v>0</v>
      </c>
      <c r="AK176" s="46">
        <f t="shared" si="837"/>
        <v>0</v>
      </c>
      <c r="AL176" s="46">
        <f t="shared" si="837"/>
        <v>0</v>
      </c>
      <c r="AM176" s="46">
        <f t="shared" si="837"/>
        <v>0</v>
      </c>
      <c r="AN176" s="46">
        <f t="shared" si="837"/>
        <v>0</v>
      </c>
      <c r="AO176" s="46">
        <f t="shared" si="837"/>
        <v>0</v>
      </c>
      <c r="AP176" s="46">
        <f t="shared" si="837"/>
        <v>0</v>
      </c>
      <c r="AQ176" s="46">
        <f t="shared" si="837"/>
        <v>0</v>
      </c>
      <c r="AR176" s="46">
        <f t="shared" si="837"/>
        <v>0</v>
      </c>
      <c r="AS176" s="46">
        <f t="shared" si="837"/>
        <v>0</v>
      </c>
      <c r="AT176" s="46">
        <f t="shared" si="837"/>
        <v>0</v>
      </c>
      <c r="AU176" s="46">
        <f t="shared" si="837"/>
        <v>0</v>
      </c>
      <c r="AV176" s="46">
        <f t="shared" si="837"/>
        <v>0</v>
      </c>
      <c r="AW176" s="46">
        <f t="shared" si="837"/>
        <v>0</v>
      </c>
      <c r="AX176" s="46">
        <f t="shared" si="837"/>
        <v>0</v>
      </c>
      <c r="AY176" s="46">
        <f t="shared" si="837"/>
        <v>0</v>
      </c>
      <c r="AZ176" s="46">
        <f t="shared" si="837"/>
        <v>0</v>
      </c>
      <c r="BA176" s="46">
        <f t="shared" si="837"/>
        <v>0</v>
      </c>
      <c r="BB176" s="46">
        <f t="shared" si="837"/>
        <v>0</v>
      </c>
      <c r="BC176" s="46">
        <f t="shared" si="837"/>
        <v>0</v>
      </c>
      <c r="BD176" s="46">
        <f t="shared" si="837"/>
        <v>0</v>
      </c>
      <c r="BE176" s="46">
        <f t="shared" si="837"/>
        <v>0</v>
      </c>
      <c r="BF176" s="46">
        <f t="shared" si="837"/>
        <v>0</v>
      </c>
      <c r="BG176" s="46">
        <f t="shared" si="837"/>
        <v>0</v>
      </c>
      <c r="BH176" s="46">
        <f t="shared" si="837"/>
        <v>0</v>
      </c>
      <c r="BI176" s="46">
        <f t="shared" si="837"/>
        <v>0</v>
      </c>
      <c r="BJ176" s="46">
        <f t="shared" si="837"/>
        <v>0</v>
      </c>
      <c r="BK176" s="46">
        <f t="shared" si="837"/>
        <v>0</v>
      </c>
      <c r="BL176" s="46">
        <f t="shared" si="837"/>
        <v>0</v>
      </c>
      <c r="BM176" s="46">
        <f t="shared" si="837"/>
        <v>0</v>
      </c>
      <c r="BN176" s="46">
        <f t="shared" si="837"/>
        <v>0</v>
      </c>
      <c r="BO176" s="46">
        <f t="shared" si="837"/>
        <v>0</v>
      </c>
      <c r="BP176" s="46">
        <f t="shared" si="837"/>
        <v>0</v>
      </c>
      <c r="BQ176" s="46">
        <f t="shared" si="837"/>
        <v>0</v>
      </c>
      <c r="BR176" s="46">
        <f t="shared" si="837"/>
        <v>0</v>
      </c>
      <c r="BS176" s="46">
        <f t="shared" si="837"/>
        <v>0</v>
      </c>
      <c r="BT176" s="46">
        <f t="shared" si="837"/>
        <v>0</v>
      </c>
      <c r="BU176" s="46">
        <f t="shared" si="837"/>
        <v>0</v>
      </c>
      <c r="BV176" s="46">
        <f t="shared" si="837"/>
        <v>0</v>
      </c>
      <c r="BW176" s="46">
        <f t="shared" si="837"/>
        <v>0</v>
      </c>
      <c r="BX176" s="51"/>
      <c r="BY176" s="51"/>
      <c r="BZ176" s="51"/>
      <c r="CA176" s="51"/>
      <c r="CB176" s="51"/>
      <c r="CC176" s="51"/>
      <c r="CD176" s="51"/>
      <c r="CE176" s="51"/>
      <c r="CF176" s="51"/>
      <c r="CG176" s="51"/>
    </row>
    <row r="177" spans="1:85" ht="15.75" customHeight="1">
      <c r="A177" s="54"/>
      <c r="B177" s="53"/>
      <c r="C177" s="54" t="s">
        <v>69</v>
      </c>
      <c r="D177" s="55" t="s">
        <v>70</v>
      </c>
      <c r="E177" s="56">
        <f>5000</f>
        <v>5000</v>
      </c>
      <c r="F177" s="57">
        <v>0</v>
      </c>
      <c r="G177" s="58">
        <f t="shared" ref="G177:G179" si="838">E177-F177</f>
        <v>5000</v>
      </c>
      <c r="H177" s="57">
        <v>0</v>
      </c>
      <c r="I177" s="59">
        <f t="shared" si="732"/>
        <v>0</v>
      </c>
      <c r="J177" s="59">
        <f t="shared" si="733"/>
        <v>0</v>
      </c>
      <c r="K177" s="74">
        <v>0</v>
      </c>
      <c r="L177" s="74">
        <v>0</v>
      </c>
      <c r="M177" s="74">
        <v>0</v>
      </c>
      <c r="N177" s="74">
        <v>0</v>
      </c>
      <c r="O177" s="61">
        <f t="shared" ref="O177:Q177" si="839">AA177+AD177+AG177+AJ177+AM177+AP177+AS177+AV177+AY177+BB177+BE177+BH177</f>
        <v>0</v>
      </c>
      <c r="P177" s="61">
        <f t="shared" si="839"/>
        <v>0</v>
      </c>
      <c r="Q177" s="61">
        <f t="shared" si="839"/>
        <v>0</v>
      </c>
      <c r="R177" s="61">
        <f t="shared" ref="R177:T177" si="840">IF(BK177=0,SUM(AA177+AD177+AG177+AJ177+AM177+AP177+AS177+AV177+AY177+BB177+BE177+BH177),BK177)</f>
        <v>0</v>
      </c>
      <c r="S177" s="61">
        <f t="shared" si="840"/>
        <v>0</v>
      </c>
      <c r="T177" s="61">
        <f t="shared" si="840"/>
        <v>0</v>
      </c>
      <c r="U177" s="63">
        <f t="shared" ref="U177:U179" si="841">K177-O177</f>
        <v>0</v>
      </c>
      <c r="V177" s="63">
        <f t="shared" ref="V177:V179" si="842">L177-M177-S177</f>
        <v>0</v>
      </c>
      <c r="W177" s="63">
        <f t="shared" ref="W177:W179" si="843">N177-Q177</f>
        <v>0</v>
      </c>
      <c r="X177" s="64">
        <f t="shared" ref="X177:Y177" si="844">IF(O177&gt;0,O177/K177,0)</f>
        <v>0</v>
      </c>
      <c r="Y177" s="64">
        <f t="shared" si="844"/>
        <v>0</v>
      </c>
      <c r="Z177" s="64">
        <f t="shared" si="729"/>
        <v>0</v>
      </c>
      <c r="AA177" s="65"/>
      <c r="AB177" s="65"/>
      <c r="AC177" s="65"/>
      <c r="AD177" s="65"/>
      <c r="AE177" s="66"/>
      <c r="AF177" s="66"/>
      <c r="AG177" s="66"/>
      <c r="AH177" s="66"/>
      <c r="AI177" s="65"/>
      <c r="AJ177" s="65"/>
      <c r="AK177" s="65"/>
      <c r="AL177" s="65"/>
      <c r="AM177" s="65"/>
      <c r="AN177" s="65"/>
      <c r="AO177" s="65"/>
      <c r="AP177" s="65"/>
      <c r="AQ177" s="65"/>
      <c r="AR177" s="65"/>
      <c r="AS177" s="65"/>
      <c r="AT177" s="65"/>
      <c r="AU177" s="65"/>
      <c r="AV177" s="65"/>
      <c r="AW177" s="65"/>
      <c r="AX177" s="65"/>
      <c r="AY177" s="65"/>
      <c r="AZ177" s="65"/>
      <c r="BA177" s="65"/>
      <c r="BB177" s="65"/>
      <c r="BC177" s="65"/>
      <c r="BD177" s="65"/>
      <c r="BE177" s="65"/>
      <c r="BF177" s="65"/>
      <c r="BG177" s="65"/>
      <c r="BH177" s="65"/>
      <c r="BI177" s="65"/>
      <c r="BJ177" s="65"/>
      <c r="BK177" s="244">
        <v>0</v>
      </c>
      <c r="BL177" s="244">
        <v>0</v>
      </c>
      <c r="BM177" s="244">
        <v>0</v>
      </c>
      <c r="BN177" s="65">
        <f t="shared" ref="BN177:BN179" si="845">IF(O177-BK177&gt;0,O177-BK177,0)</f>
        <v>0</v>
      </c>
      <c r="BO177" s="67">
        <f t="shared" ref="BO177:BO179" si="846">IF(Q177-BM177&gt;0,Q177-BM177,0)</f>
        <v>0</v>
      </c>
      <c r="BP177" s="65">
        <f t="shared" ref="BP177:BP179" si="847">IF(BN177+BO177&gt;0,BN177+BO177,0)</f>
        <v>0</v>
      </c>
      <c r="BQ177" s="65">
        <f t="shared" ref="BQ177:BQ179" si="848">IF(U177=0,0,U177)</f>
        <v>0</v>
      </c>
      <c r="BR177" s="65">
        <f t="shared" ref="BR177:BR179" si="849">IF(W177=0,0,W177)</f>
        <v>0</v>
      </c>
      <c r="BS177" s="65">
        <f t="shared" ref="BS177:BS179" si="850">IF(BQ177+BR177&gt;0,BQ177+BR177,0)</f>
        <v>0</v>
      </c>
      <c r="BT177" s="65">
        <f t="shared" ref="BT177:BT179" si="851">IF(V177&gt;0,V177,0)</f>
        <v>0</v>
      </c>
      <c r="BU177" s="65">
        <f t="shared" ref="BU177:BU179" si="852">IF(BP177=0,0,BP177)</f>
        <v>0</v>
      </c>
      <c r="BV177" s="65">
        <f t="shared" ref="BV177:BV179" si="853">IF(BS177=0,0,BS177)</f>
        <v>0</v>
      </c>
      <c r="BW177" s="65">
        <f t="shared" ref="BW177:BW179" si="854">IF(BP177+BT177+BV177&gt;0,BP177+BT177+BV177,0)</f>
        <v>0</v>
      </c>
      <c r="BX177" s="6"/>
      <c r="BY177" s="6"/>
      <c r="BZ177" s="6"/>
      <c r="CA177" s="6"/>
      <c r="CB177" s="6"/>
      <c r="CC177" s="6"/>
      <c r="CD177" s="6"/>
      <c r="CE177" s="6"/>
      <c r="CF177" s="6"/>
      <c r="CG177" s="6"/>
    </row>
    <row r="178" spans="1:85" ht="15.75" customHeight="1">
      <c r="A178" s="68"/>
      <c r="B178" s="103"/>
      <c r="C178" s="68" t="s">
        <v>71</v>
      </c>
      <c r="D178" s="70" t="s">
        <v>332</v>
      </c>
      <c r="E178" s="57">
        <v>0</v>
      </c>
      <c r="F178" s="57">
        <v>0</v>
      </c>
      <c r="G178" s="58">
        <f t="shared" si="838"/>
        <v>0</v>
      </c>
      <c r="H178" s="57">
        <v>0</v>
      </c>
      <c r="I178" s="59">
        <f t="shared" si="732"/>
        <v>0</v>
      </c>
      <c r="J178" s="59">
        <f t="shared" si="733"/>
        <v>0</v>
      </c>
      <c r="K178" s="74">
        <v>0</v>
      </c>
      <c r="L178" s="74">
        <v>0</v>
      </c>
      <c r="M178" s="74">
        <v>0</v>
      </c>
      <c r="N178" s="74">
        <v>0</v>
      </c>
      <c r="O178" s="61">
        <f t="shared" ref="O178:Q178" si="855">AA178+AD178+AG178+AJ178+AM178+AP178+AS178+AV178+AY178+BB178+BE178+BH178</f>
        <v>0</v>
      </c>
      <c r="P178" s="61">
        <f t="shared" si="855"/>
        <v>0</v>
      </c>
      <c r="Q178" s="61">
        <f t="shared" si="855"/>
        <v>0</v>
      </c>
      <c r="R178" s="61">
        <f t="shared" ref="R178:T178" si="856">IF(BK178=0,SUM(AA178+AD178+AG178+AJ178+AM178+AP178+AS178+AV178+AY178+BB178+BE178+BH178),BK178)</f>
        <v>0</v>
      </c>
      <c r="S178" s="61">
        <f t="shared" si="856"/>
        <v>0</v>
      </c>
      <c r="T178" s="61">
        <f t="shared" si="856"/>
        <v>0</v>
      </c>
      <c r="U178" s="63">
        <f t="shared" si="841"/>
        <v>0</v>
      </c>
      <c r="V178" s="63">
        <f t="shared" si="842"/>
        <v>0</v>
      </c>
      <c r="W178" s="63">
        <f t="shared" si="843"/>
        <v>0</v>
      </c>
      <c r="X178" s="64">
        <f t="shared" ref="X178:Y178" si="857">IF(O178&gt;0,O178/K178,0)</f>
        <v>0</v>
      </c>
      <c r="Y178" s="64">
        <f t="shared" si="857"/>
        <v>0</v>
      </c>
      <c r="Z178" s="64">
        <f t="shared" si="729"/>
        <v>0</v>
      </c>
      <c r="AA178" s="65"/>
      <c r="AB178" s="65"/>
      <c r="AC178" s="65"/>
      <c r="AD178" s="65"/>
      <c r="AE178" s="66"/>
      <c r="AF178" s="66"/>
      <c r="AG178" s="66"/>
      <c r="AH178" s="66"/>
      <c r="AI178" s="65"/>
      <c r="AJ178" s="65"/>
      <c r="AK178" s="65"/>
      <c r="AL178" s="65"/>
      <c r="AM178" s="65"/>
      <c r="AN178" s="65"/>
      <c r="AO178" s="65"/>
      <c r="AP178" s="65"/>
      <c r="AQ178" s="65"/>
      <c r="AR178" s="65"/>
      <c r="AS178" s="65"/>
      <c r="AT178" s="65"/>
      <c r="AU178" s="65"/>
      <c r="AV178" s="65"/>
      <c r="AW178" s="65"/>
      <c r="AX178" s="65"/>
      <c r="AY178" s="65"/>
      <c r="AZ178" s="65"/>
      <c r="BA178" s="65"/>
      <c r="BB178" s="65"/>
      <c r="BC178" s="65"/>
      <c r="BD178" s="65"/>
      <c r="BE178" s="65"/>
      <c r="BF178" s="65"/>
      <c r="BG178" s="65"/>
      <c r="BH178" s="65"/>
      <c r="BI178" s="65"/>
      <c r="BJ178" s="65"/>
      <c r="BK178" s="244">
        <v>0</v>
      </c>
      <c r="BL178" s="244">
        <v>0</v>
      </c>
      <c r="BM178" s="244">
        <v>0</v>
      </c>
      <c r="BN178" s="65">
        <f t="shared" si="845"/>
        <v>0</v>
      </c>
      <c r="BO178" s="67">
        <f t="shared" si="846"/>
        <v>0</v>
      </c>
      <c r="BP178" s="65">
        <f t="shared" si="847"/>
        <v>0</v>
      </c>
      <c r="BQ178" s="65">
        <f t="shared" si="848"/>
        <v>0</v>
      </c>
      <c r="BR178" s="65">
        <f t="shared" si="849"/>
        <v>0</v>
      </c>
      <c r="BS178" s="65">
        <f t="shared" si="850"/>
        <v>0</v>
      </c>
      <c r="BT178" s="65">
        <f t="shared" si="851"/>
        <v>0</v>
      </c>
      <c r="BU178" s="65">
        <f t="shared" si="852"/>
        <v>0</v>
      </c>
      <c r="BV178" s="65">
        <f t="shared" si="853"/>
        <v>0</v>
      </c>
      <c r="BW178" s="65">
        <f t="shared" si="854"/>
        <v>0</v>
      </c>
      <c r="BX178" s="6"/>
      <c r="BY178" s="6"/>
      <c r="BZ178" s="6"/>
      <c r="CA178" s="6"/>
      <c r="CB178" s="6"/>
      <c r="CC178" s="6"/>
      <c r="CD178" s="6"/>
      <c r="CE178" s="6"/>
      <c r="CF178" s="6"/>
      <c r="CG178" s="6"/>
    </row>
    <row r="179" spans="1:85" ht="15.75" customHeight="1">
      <c r="A179" s="71"/>
      <c r="B179" s="72"/>
      <c r="C179" s="71" t="s">
        <v>73</v>
      </c>
      <c r="D179" s="73" t="s">
        <v>74</v>
      </c>
      <c r="E179" s="57">
        <v>0</v>
      </c>
      <c r="F179" s="57">
        <v>0</v>
      </c>
      <c r="G179" s="58">
        <f t="shared" si="838"/>
        <v>0</v>
      </c>
      <c r="H179" s="57">
        <v>0</v>
      </c>
      <c r="I179" s="59">
        <f t="shared" si="732"/>
        <v>0</v>
      </c>
      <c r="J179" s="59">
        <f t="shared" si="733"/>
        <v>0</v>
      </c>
      <c r="K179" s="74">
        <v>0</v>
      </c>
      <c r="L179" s="74">
        <v>0</v>
      </c>
      <c r="M179" s="74">
        <v>0</v>
      </c>
      <c r="N179" s="74">
        <v>0</v>
      </c>
      <c r="O179" s="61">
        <f t="shared" ref="O179:Q179" si="858">AA179+AD179+AG179+AJ179+AM179+AP179+AS179+AV179+AY179+BB179+BE179+BH179</f>
        <v>0</v>
      </c>
      <c r="P179" s="61">
        <f t="shared" si="858"/>
        <v>0</v>
      </c>
      <c r="Q179" s="61">
        <f t="shared" si="858"/>
        <v>0</v>
      </c>
      <c r="R179" s="61">
        <f t="shared" ref="R179:T179" si="859">IF(BK179=0,SUM(AA179+AD179+AG179+AJ179+AM179+AP179+AS179+AV179+AY179+BB179+BE179+BH179),BK179)</f>
        <v>0</v>
      </c>
      <c r="S179" s="61">
        <f t="shared" si="859"/>
        <v>0</v>
      </c>
      <c r="T179" s="61">
        <f t="shared" si="859"/>
        <v>0</v>
      </c>
      <c r="U179" s="63">
        <f t="shared" si="841"/>
        <v>0</v>
      </c>
      <c r="V179" s="63">
        <f t="shared" si="842"/>
        <v>0</v>
      </c>
      <c r="W179" s="63">
        <f t="shared" si="843"/>
        <v>0</v>
      </c>
      <c r="X179" s="64"/>
      <c r="Y179" s="64"/>
      <c r="Z179" s="64"/>
      <c r="AA179" s="65"/>
      <c r="AB179" s="65"/>
      <c r="AC179" s="65"/>
      <c r="AD179" s="65"/>
      <c r="AE179" s="66"/>
      <c r="AF179" s="66"/>
      <c r="AG179" s="66"/>
      <c r="AH179" s="66"/>
      <c r="AI179" s="65"/>
      <c r="AJ179" s="65"/>
      <c r="AK179" s="65"/>
      <c r="AL179" s="65"/>
      <c r="AM179" s="65"/>
      <c r="AN179" s="65"/>
      <c r="AO179" s="65"/>
      <c r="AP179" s="65"/>
      <c r="AQ179" s="65"/>
      <c r="AR179" s="65"/>
      <c r="AS179" s="65"/>
      <c r="AT179" s="65"/>
      <c r="AU179" s="65"/>
      <c r="AV179" s="65"/>
      <c r="AW179" s="65"/>
      <c r="AX179" s="65"/>
      <c r="AY179" s="65"/>
      <c r="AZ179" s="65"/>
      <c r="BA179" s="65"/>
      <c r="BB179" s="65"/>
      <c r="BC179" s="65"/>
      <c r="BD179" s="65"/>
      <c r="BE179" s="65"/>
      <c r="BF179" s="65"/>
      <c r="BG179" s="65"/>
      <c r="BH179" s="65"/>
      <c r="BI179" s="65"/>
      <c r="BJ179" s="65"/>
      <c r="BK179" s="244">
        <v>0</v>
      </c>
      <c r="BL179" s="244">
        <v>0</v>
      </c>
      <c r="BM179" s="244">
        <v>0</v>
      </c>
      <c r="BN179" s="65">
        <f t="shared" si="845"/>
        <v>0</v>
      </c>
      <c r="BO179" s="67">
        <f t="shared" si="846"/>
        <v>0</v>
      </c>
      <c r="BP179" s="65">
        <f t="shared" si="847"/>
        <v>0</v>
      </c>
      <c r="BQ179" s="65">
        <f t="shared" si="848"/>
        <v>0</v>
      </c>
      <c r="BR179" s="65">
        <f t="shared" si="849"/>
        <v>0</v>
      </c>
      <c r="BS179" s="65">
        <f t="shared" si="850"/>
        <v>0</v>
      </c>
      <c r="BT179" s="65">
        <f t="shared" si="851"/>
        <v>0</v>
      </c>
      <c r="BU179" s="65">
        <f t="shared" si="852"/>
        <v>0</v>
      </c>
      <c r="BV179" s="65">
        <f t="shared" si="853"/>
        <v>0</v>
      </c>
      <c r="BW179" s="65">
        <f t="shared" si="854"/>
        <v>0</v>
      </c>
      <c r="BX179" s="6"/>
      <c r="BY179" s="6"/>
      <c r="BZ179" s="6"/>
      <c r="CA179" s="6"/>
      <c r="CB179" s="6"/>
      <c r="CC179" s="6"/>
      <c r="CD179" s="6"/>
      <c r="CE179" s="6"/>
      <c r="CF179" s="6"/>
      <c r="CG179" s="6"/>
    </row>
    <row r="180" spans="1:85" ht="15.75">
      <c r="A180" s="75"/>
      <c r="B180" s="76"/>
      <c r="C180" s="77"/>
      <c r="D180" s="78" t="s">
        <v>168</v>
      </c>
      <c r="E180" s="45">
        <f t="shared" ref="E180:H180" si="860">SUM(E181)</f>
        <v>17000</v>
      </c>
      <c r="F180" s="46">
        <f t="shared" si="860"/>
        <v>0</v>
      </c>
      <c r="G180" s="46">
        <f t="shared" si="860"/>
        <v>17000</v>
      </c>
      <c r="H180" s="46">
        <f t="shared" si="860"/>
        <v>0</v>
      </c>
      <c r="I180" s="47">
        <f t="shared" si="732"/>
        <v>0</v>
      </c>
      <c r="J180" s="47">
        <f t="shared" si="733"/>
        <v>0</v>
      </c>
      <c r="K180" s="46">
        <f t="shared" ref="K180:W180" si="861">SUM(K181)</f>
        <v>0</v>
      </c>
      <c r="L180" s="46">
        <f t="shared" si="861"/>
        <v>0</v>
      </c>
      <c r="M180" s="46">
        <f t="shared" si="861"/>
        <v>0</v>
      </c>
      <c r="N180" s="46">
        <f t="shared" si="861"/>
        <v>0</v>
      </c>
      <c r="O180" s="46">
        <f t="shared" si="861"/>
        <v>0</v>
      </c>
      <c r="P180" s="46">
        <f t="shared" si="861"/>
        <v>0</v>
      </c>
      <c r="Q180" s="46">
        <f t="shared" si="861"/>
        <v>0</v>
      </c>
      <c r="R180" s="46">
        <f t="shared" si="861"/>
        <v>0</v>
      </c>
      <c r="S180" s="46">
        <f t="shared" si="861"/>
        <v>0</v>
      </c>
      <c r="T180" s="46">
        <f t="shared" si="861"/>
        <v>0</v>
      </c>
      <c r="U180" s="46">
        <f t="shared" si="861"/>
        <v>0</v>
      </c>
      <c r="V180" s="46">
        <f t="shared" si="861"/>
        <v>0</v>
      </c>
      <c r="W180" s="46">
        <f t="shared" si="861"/>
        <v>0</v>
      </c>
      <c r="X180" s="50">
        <f t="shared" ref="X180:Y180" si="862">IF(O180&gt;0,O180/K180,0)</f>
        <v>0</v>
      </c>
      <c r="Y180" s="50">
        <f t="shared" si="862"/>
        <v>0</v>
      </c>
      <c r="Z180" s="50">
        <f t="shared" ref="Z180:Z188" si="863">IF(Q180&gt;0,Q180/N180,0)</f>
        <v>0</v>
      </c>
      <c r="AA180" s="46">
        <f t="shared" ref="AA180:BW180" si="864">SUM(AA181)</f>
        <v>0</v>
      </c>
      <c r="AB180" s="46">
        <f t="shared" si="864"/>
        <v>0</v>
      </c>
      <c r="AC180" s="46">
        <f t="shared" si="864"/>
        <v>0</v>
      </c>
      <c r="AD180" s="46">
        <f t="shared" si="864"/>
        <v>0</v>
      </c>
      <c r="AE180" s="46">
        <f t="shared" si="864"/>
        <v>0</v>
      </c>
      <c r="AF180" s="46">
        <f t="shared" si="864"/>
        <v>0</v>
      </c>
      <c r="AG180" s="46">
        <f t="shared" si="864"/>
        <v>0</v>
      </c>
      <c r="AH180" s="46">
        <f t="shared" si="864"/>
        <v>0</v>
      </c>
      <c r="AI180" s="46">
        <f t="shared" si="864"/>
        <v>0</v>
      </c>
      <c r="AJ180" s="46">
        <f t="shared" si="864"/>
        <v>0</v>
      </c>
      <c r="AK180" s="46">
        <f t="shared" si="864"/>
        <v>0</v>
      </c>
      <c r="AL180" s="46">
        <f t="shared" si="864"/>
        <v>0</v>
      </c>
      <c r="AM180" s="46">
        <f t="shared" si="864"/>
        <v>0</v>
      </c>
      <c r="AN180" s="46">
        <f t="shared" si="864"/>
        <v>0</v>
      </c>
      <c r="AO180" s="46">
        <f t="shared" si="864"/>
        <v>0</v>
      </c>
      <c r="AP180" s="46">
        <f t="shared" si="864"/>
        <v>0</v>
      </c>
      <c r="AQ180" s="46">
        <f t="shared" si="864"/>
        <v>0</v>
      </c>
      <c r="AR180" s="46">
        <f t="shared" si="864"/>
        <v>0</v>
      </c>
      <c r="AS180" s="46">
        <f t="shared" si="864"/>
        <v>0</v>
      </c>
      <c r="AT180" s="46">
        <f t="shared" si="864"/>
        <v>0</v>
      </c>
      <c r="AU180" s="46">
        <f t="shared" si="864"/>
        <v>0</v>
      </c>
      <c r="AV180" s="46">
        <f t="shared" si="864"/>
        <v>0</v>
      </c>
      <c r="AW180" s="46">
        <f t="shared" si="864"/>
        <v>0</v>
      </c>
      <c r="AX180" s="46">
        <f t="shared" si="864"/>
        <v>0</v>
      </c>
      <c r="AY180" s="46">
        <f t="shared" si="864"/>
        <v>0</v>
      </c>
      <c r="AZ180" s="46">
        <f t="shared" si="864"/>
        <v>0</v>
      </c>
      <c r="BA180" s="46">
        <f t="shared" si="864"/>
        <v>0</v>
      </c>
      <c r="BB180" s="46">
        <f t="shared" si="864"/>
        <v>0</v>
      </c>
      <c r="BC180" s="46">
        <f t="shared" si="864"/>
        <v>0</v>
      </c>
      <c r="BD180" s="46">
        <f t="shared" si="864"/>
        <v>0</v>
      </c>
      <c r="BE180" s="46">
        <f t="shared" si="864"/>
        <v>0</v>
      </c>
      <c r="BF180" s="46">
        <f t="shared" si="864"/>
        <v>0</v>
      </c>
      <c r="BG180" s="46">
        <f t="shared" si="864"/>
        <v>0</v>
      </c>
      <c r="BH180" s="46">
        <f t="shared" si="864"/>
        <v>0</v>
      </c>
      <c r="BI180" s="46">
        <f t="shared" si="864"/>
        <v>0</v>
      </c>
      <c r="BJ180" s="46">
        <f t="shared" si="864"/>
        <v>0</v>
      </c>
      <c r="BK180" s="46">
        <f t="shared" si="864"/>
        <v>0</v>
      </c>
      <c r="BL180" s="46">
        <f t="shared" si="864"/>
        <v>0</v>
      </c>
      <c r="BM180" s="46">
        <f t="shared" si="864"/>
        <v>0</v>
      </c>
      <c r="BN180" s="46">
        <f t="shared" si="864"/>
        <v>0</v>
      </c>
      <c r="BO180" s="46">
        <f t="shared" si="864"/>
        <v>0</v>
      </c>
      <c r="BP180" s="46">
        <f t="shared" si="864"/>
        <v>0</v>
      </c>
      <c r="BQ180" s="46">
        <f t="shared" si="864"/>
        <v>0</v>
      </c>
      <c r="BR180" s="46">
        <f t="shared" si="864"/>
        <v>0</v>
      </c>
      <c r="BS180" s="46">
        <f t="shared" si="864"/>
        <v>0</v>
      </c>
      <c r="BT180" s="46">
        <f t="shared" si="864"/>
        <v>0</v>
      </c>
      <c r="BU180" s="46">
        <f t="shared" si="864"/>
        <v>0</v>
      </c>
      <c r="BV180" s="46">
        <f t="shared" si="864"/>
        <v>0</v>
      </c>
      <c r="BW180" s="46">
        <f t="shared" si="864"/>
        <v>0</v>
      </c>
      <c r="BX180" s="51"/>
      <c r="BY180" s="51"/>
      <c r="BZ180" s="51"/>
      <c r="CA180" s="51"/>
      <c r="CB180" s="51"/>
      <c r="CC180" s="51"/>
      <c r="CD180" s="51"/>
      <c r="CE180" s="51"/>
      <c r="CF180" s="51"/>
      <c r="CG180" s="51"/>
    </row>
    <row r="181" spans="1:85" ht="15.75" customHeight="1">
      <c r="A181" s="81"/>
      <c r="B181" s="253"/>
      <c r="C181" s="81" t="s">
        <v>170</v>
      </c>
      <c r="D181" s="254" t="s">
        <v>333</v>
      </c>
      <c r="E181" s="56">
        <v>17000</v>
      </c>
      <c r="F181" s="57">
        <v>0</v>
      </c>
      <c r="G181" s="58">
        <f>E181-F181</f>
        <v>17000</v>
      </c>
      <c r="H181" s="57">
        <v>0</v>
      </c>
      <c r="I181" s="59">
        <f t="shared" si="732"/>
        <v>0</v>
      </c>
      <c r="J181" s="59">
        <f t="shared" si="733"/>
        <v>0</v>
      </c>
      <c r="K181" s="74">
        <v>0</v>
      </c>
      <c r="L181" s="74">
        <v>0</v>
      </c>
      <c r="M181" s="74">
        <v>0</v>
      </c>
      <c r="N181" s="74">
        <v>0</v>
      </c>
      <c r="O181" s="61">
        <f t="shared" ref="O181:Q181" si="865">AA181+AD181+AG181+AJ181+AM181+AP181+AS181+AV181+AY181+BB181+BE181+BH181</f>
        <v>0</v>
      </c>
      <c r="P181" s="61">
        <f t="shared" si="865"/>
        <v>0</v>
      </c>
      <c r="Q181" s="61">
        <f t="shared" si="865"/>
        <v>0</v>
      </c>
      <c r="R181" s="61">
        <f t="shared" ref="R181:T181" si="866">IF(BK181=0,SUM(AA181+AD181+AG181+AJ181+AM181+AP181+AS181+AV181+AY181+BB181+BE181+BH181),BK181)</f>
        <v>0</v>
      </c>
      <c r="S181" s="61">
        <f t="shared" si="866"/>
        <v>0</v>
      </c>
      <c r="T181" s="61">
        <f t="shared" si="866"/>
        <v>0</v>
      </c>
      <c r="U181" s="63">
        <f t="shared" ref="U181:U185" si="867">K181-O181</f>
        <v>0</v>
      </c>
      <c r="V181" s="63">
        <f>L181-M181-S181</f>
        <v>0</v>
      </c>
      <c r="W181" s="63">
        <f t="shared" ref="W181:W185" si="868">N181-Q181</f>
        <v>0</v>
      </c>
      <c r="X181" s="64">
        <f t="shared" ref="X181:Y181" si="869">IF(O181&gt;0,O181/K181,0)</f>
        <v>0</v>
      </c>
      <c r="Y181" s="64">
        <f t="shared" si="869"/>
        <v>0</v>
      </c>
      <c r="Z181" s="64">
        <f t="shared" si="863"/>
        <v>0</v>
      </c>
      <c r="AA181" s="65"/>
      <c r="AB181" s="65"/>
      <c r="AC181" s="65"/>
      <c r="AD181" s="65"/>
      <c r="AE181" s="66"/>
      <c r="AF181" s="66"/>
      <c r="AG181" s="66"/>
      <c r="AH181" s="66"/>
      <c r="AI181" s="65"/>
      <c r="AJ181" s="65"/>
      <c r="AK181" s="65"/>
      <c r="AL181" s="65"/>
      <c r="AM181" s="65"/>
      <c r="AN181" s="65"/>
      <c r="AO181" s="65"/>
      <c r="AP181" s="65"/>
      <c r="AQ181" s="65"/>
      <c r="AR181" s="65"/>
      <c r="AS181" s="65"/>
      <c r="AT181" s="65"/>
      <c r="AU181" s="65"/>
      <c r="AV181" s="65"/>
      <c r="AW181" s="65"/>
      <c r="AX181" s="65"/>
      <c r="AY181" s="65"/>
      <c r="AZ181" s="65"/>
      <c r="BA181" s="65"/>
      <c r="BB181" s="65"/>
      <c r="BC181" s="65"/>
      <c r="BD181" s="65"/>
      <c r="BE181" s="65"/>
      <c r="BF181" s="65"/>
      <c r="BG181" s="65"/>
      <c r="BH181" s="65"/>
      <c r="BI181" s="65"/>
      <c r="BJ181" s="65"/>
      <c r="BK181" s="244">
        <v>0</v>
      </c>
      <c r="BL181" s="244">
        <v>0</v>
      </c>
      <c r="BM181" s="244">
        <v>0</v>
      </c>
      <c r="BN181" s="65">
        <f>IF(O181-BK181&gt;0,O181-BK181,0)</f>
        <v>0</v>
      </c>
      <c r="BO181" s="67">
        <f>IF(Q181-BM181&gt;0,Q181-BM181,0)</f>
        <v>0</v>
      </c>
      <c r="BP181" s="65">
        <f>IF(BN181+BO181&gt;0,BN181+BO181,0)</f>
        <v>0</v>
      </c>
      <c r="BQ181" s="65">
        <f>IF(U181=0,0,U181)</f>
        <v>0</v>
      </c>
      <c r="BR181" s="65">
        <f>IF(W181=0,0,W181)</f>
        <v>0</v>
      </c>
      <c r="BS181" s="65">
        <f>IF(BQ181+BR181&gt;0,BQ181+BR181,0)</f>
        <v>0</v>
      </c>
      <c r="BT181" s="65">
        <f>IF(V181&gt;0,V181,0)</f>
        <v>0</v>
      </c>
      <c r="BU181" s="65">
        <f>IF(BP181=0,0,BP181)</f>
        <v>0</v>
      </c>
      <c r="BV181" s="65">
        <f>IF(BS181=0,0,BS181)</f>
        <v>0</v>
      </c>
      <c r="BW181" s="65">
        <f>IF(BP181+BT181+BV181&gt;0,BP181+BT181+BV181,0)</f>
        <v>0</v>
      </c>
      <c r="BX181" s="6"/>
      <c r="BY181" s="6"/>
      <c r="BZ181" s="6"/>
      <c r="CA181" s="6"/>
      <c r="CB181" s="6"/>
      <c r="CC181" s="6"/>
      <c r="CD181" s="6"/>
      <c r="CE181" s="6"/>
      <c r="CF181" s="6"/>
      <c r="CG181" s="6"/>
    </row>
    <row r="182" spans="1:85" ht="15.75" customHeight="1">
      <c r="A182" s="75"/>
      <c r="B182" s="255"/>
      <c r="C182" s="77"/>
      <c r="D182" s="78" t="s">
        <v>334</v>
      </c>
      <c r="E182" s="45">
        <f t="shared" ref="E182:H182" si="870">E183</f>
        <v>38807.9</v>
      </c>
      <c r="F182" s="46">
        <f t="shared" si="870"/>
        <v>0</v>
      </c>
      <c r="G182" s="46">
        <f t="shared" si="870"/>
        <v>38807.9</v>
      </c>
      <c r="H182" s="46">
        <f t="shared" si="870"/>
        <v>0</v>
      </c>
      <c r="I182" s="47">
        <f t="shared" si="732"/>
        <v>0</v>
      </c>
      <c r="J182" s="47">
        <f t="shared" si="733"/>
        <v>0</v>
      </c>
      <c r="K182" s="46">
        <f t="shared" ref="K182:N182" si="871">K183</f>
        <v>0</v>
      </c>
      <c r="L182" s="46">
        <f t="shared" si="871"/>
        <v>0</v>
      </c>
      <c r="M182" s="46">
        <f t="shared" si="871"/>
        <v>0</v>
      </c>
      <c r="N182" s="46">
        <f t="shared" si="871"/>
        <v>0</v>
      </c>
      <c r="O182" s="49">
        <f t="shared" ref="O182:Q182" si="872">AA182+AD182+AG182+AJ182+AM182+AP182+AS182+AV182+AY182+BB182+BE182+BH182</f>
        <v>0</v>
      </c>
      <c r="P182" s="49">
        <f t="shared" si="872"/>
        <v>0</v>
      </c>
      <c r="Q182" s="49">
        <f t="shared" si="872"/>
        <v>0</v>
      </c>
      <c r="R182" s="49">
        <f t="shared" ref="R182:T182" si="873">IF(BK182=0,SUM(AA182+AD182+AG182+AJ182+AM182+AP182+AS182+AV182+AY182+BB182+BE182+BH182),BK182)</f>
        <v>0</v>
      </c>
      <c r="S182" s="49">
        <f t="shared" si="873"/>
        <v>0</v>
      </c>
      <c r="T182" s="49">
        <f t="shared" si="873"/>
        <v>0</v>
      </c>
      <c r="U182" s="48">
        <f t="shared" si="867"/>
        <v>0</v>
      </c>
      <c r="V182" s="48">
        <f>L182-P182-M182</f>
        <v>0</v>
      </c>
      <c r="W182" s="48">
        <f t="shared" si="868"/>
        <v>0</v>
      </c>
      <c r="X182" s="50">
        <f t="shared" ref="X182:Y182" si="874">IF(O182&gt;0,O182/K182,0)</f>
        <v>0</v>
      </c>
      <c r="Y182" s="50">
        <f t="shared" si="874"/>
        <v>0</v>
      </c>
      <c r="Z182" s="50">
        <f t="shared" si="863"/>
        <v>0</v>
      </c>
      <c r="AA182" s="256">
        <f>AA183</f>
        <v>0</v>
      </c>
      <c r="AB182" s="256">
        <f t="shared" ref="AB182" si="875">AB183</f>
        <v>0</v>
      </c>
      <c r="AC182" s="256">
        <f t="shared" ref="AC182" si="876">AC183</f>
        <v>0</v>
      </c>
      <c r="AD182" s="256">
        <f t="shared" ref="AD182" si="877">AD183</f>
        <v>0</v>
      </c>
      <c r="AE182" s="256">
        <f t="shared" ref="AE182" si="878">AE183</f>
        <v>0</v>
      </c>
      <c r="AF182" s="256">
        <f t="shared" ref="AF182" si="879">AF183</f>
        <v>0</v>
      </c>
      <c r="AG182" s="256">
        <f t="shared" ref="AG182" si="880">AG183</f>
        <v>0</v>
      </c>
      <c r="AH182" s="256">
        <f t="shared" ref="AH182" si="881">AH183</f>
        <v>0</v>
      </c>
      <c r="AI182" s="256">
        <f t="shared" ref="AI182" si="882">AI183</f>
        <v>0</v>
      </c>
      <c r="AJ182" s="256">
        <f t="shared" ref="AJ182" si="883">AJ183</f>
        <v>0</v>
      </c>
      <c r="AK182" s="256">
        <f t="shared" ref="AK182" si="884">AK183</f>
        <v>0</v>
      </c>
      <c r="AL182" s="256">
        <f t="shared" ref="AL182" si="885">AL183</f>
        <v>0</v>
      </c>
      <c r="AM182" s="256">
        <f t="shared" ref="AM182" si="886">AM183</f>
        <v>0</v>
      </c>
      <c r="AN182" s="256">
        <f t="shared" ref="AN182" si="887">AN183</f>
        <v>0</v>
      </c>
      <c r="AO182" s="256">
        <f t="shared" ref="AO182" si="888">AO183</f>
        <v>0</v>
      </c>
      <c r="AP182" s="256">
        <f t="shared" ref="AP182" si="889">AP183</f>
        <v>0</v>
      </c>
      <c r="AQ182" s="256">
        <f t="shared" ref="AQ182" si="890">AQ183</f>
        <v>0</v>
      </c>
      <c r="AR182" s="256">
        <f t="shared" ref="AR182" si="891">AR183</f>
        <v>0</v>
      </c>
      <c r="AS182" s="256">
        <f t="shared" ref="AS182" si="892">AS183</f>
        <v>0</v>
      </c>
      <c r="AT182" s="256">
        <f t="shared" ref="AT182" si="893">AT183</f>
        <v>0</v>
      </c>
      <c r="AU182" s="256">
        <f t="shared" ref="AU182" si="894">AU183</f>
        <v>0</v>
      </c>
      <c r="AV182" s="256">
        <f t="shared" ref="AV182" si="895">AV183</f>
        <v>0</v>
      </c>
      <c r="AW182" s="256">
        <f t="shared" ref="AW182" si="896">AW183</f>
        <v>0</v>
      </c>
      <c r="AX182" s="256">
        <f t="shared" ref="AX182" si="897">AX183</f>
        <v>0</v>
      </c>
      <c r="AY182" s="256">
        <f t="shared" ref="AY182" si="898">AY183</f>
        <v>0</v>
      </c>
      <c r="AZ182" s="256">
        <f t="shared" ref="AZ182" si="899">AZ183</f>
        <v>0</v>
      </c>
      <c r="BA182" s="256">
        <f t="shared" ref="BA182" si="900">BA183</f>
        <v>0</v>
      </c>
      <c r="BB182" s="256">
        <f t="shared" ref="BB182" si="901">BB183</f>
        <v>0</v>
      </c>
      <c r="BC182" s="256">
        <f t="shared" ref="BC182" si="902">BC183</f>
        <v>0</v>
      </c>
      <c r="BD182" s="256">
        <f t="shared" ref="BD182" si="903">BD183</f>
        <v>0</v>
      </c>
      <c r="BE182" s="256">
        <f t="shared" ref="BE182" si="904">BE183</f>
        <v>0</v>
      </c>
      <c r="BF182" s="256">
        <f t="shared" ref="BF182" si="905">BF183</f>
        <v>0</v>
      </c>
      <c r="BG182" s="256">
        <f t="shared" ref="BG182" si="906">BG183</f>
        <v>0</v>
      </c>
      <c r="BH182" s="256">
        <f t="shared" ref="BH182" si="907">BH183</f>
        <v>0</v>
      </c>
      <c r="BI182" s="256">
        <f t="shared" ref="BI182" si="908">BI183</f>
        <v>0</v>
      </c>
      <c r="BJ182" s="256">
        <f t="shared" ref="BJ182" si="909">BJ183</f>
        <v>0</v>
      </c>
      <c r="BK182" s="256">
        <f t="shared" ref="BK182" si="910">BK183</f>
        <v>0</v>
      </c>
      <c r="BL182" s="256">
        <f t="shared" ref="BL182" si="911">BL183</f>
        <v>0</v>
      </c>
      <c r="BM182" s="256">
        <f t="shared" ref="BM182" si="912">BM183</f>
        <v>0</v>
      </c>
      <c r="BN182" s="256">
        <f t="shared" ref="BN182" si="913">BN183</f>
        <v>0</v>
      </c>
      <c r="BO182" s="256">
        <f t="shared" ref="BO182" si="914">BO183</f>
        <v>0</v>
      </c>
      <c r="BP182" s="256">
        <f t="shared" ref="BP182" si="915">BP183</f>
        <v>0</v>
      </c>
      <c r="BQ182" s="256">
        <f t="shared" ref="BQ182" si="916">BQ183</f>
        <v>0</v>
      </c>
      <c r="BR182" s="256">
        <f t="shared" ref="BR182" si="917">BR183</f>
        <v>0</v>
      </c>
      <c r="BS182" s="256">
        <f t="shared" ref="BS182" si="918">BS183</f>
        <v>0</v>
      </c>
      <c r="BT182" s="256">
        <f t="shared" ref="BT182" si="919">BT183</f>
        <v>0</v>
      </c>
      <c r="BU182" s="256">
        <f t="shared" ref="BU182" si="920">BU183</f>
        <v>0</v>
      </c>
      <c r="BV182" s="256">
        <f t="shared" ref="BV182" si="921">BV183</f>
        <v>0</v>
      </c>
      <c r="BW182" s="256">
        <f t="shared" ref="BW182" si="922">BW183</f>
        <v>0</v>
      </c>
      <c r="BX182" s="51"/>
      <c r="BY182" s="51"/>
      <c r="BZ182" s="51"/>
      <c r="CA182" s="51"/>
      <c r="CB182" s="51"/>
      <c r="CC182" s="51"/>
      <c r="CD182" s="51"/>
      <c r="CE182" s="51"/>
      <c r="CF182" s="51"/>
      <c r="CG182" s="51"/>
    </row>
    <row r="183" spans="1:85" ht="15.75" customHeight="1">
      <c r="A183" s="257"/>
      <c r="B183" s="258"/>
      <c r="C183" s="81" t="s">
        <v>335</v>
      </c>
      <c r="D183" s="254" t="s">
        <v>336</v>
      </c>
      <c r="E183" s="56">
        <v>38807.9</v>
      </c>
      <c r="F183" s="57">
        <v>0</v>
      </c>
      <c r="G183" s="58">
        <f>E183-F183</f>
        <v>38807.9</v>
      </c>
      <c r="H183" s="57">
        <v>0</v>
      </c>
      <c r="I183" s="59">
        <f t="shared" si="732"/>
        <v>0</v>
      </c>
      <c r="J183" s="59">
        <f t="shared" si="733"/>
        <v>0</v>
      </c>
      <c r="K183" s="74">
        <v>0</v>
      </c>
      <c r="L183" s="74">
        <v>0</v>
      </c>
      <c r="M183" s="74">
        <v>0</v>
      </c>
      <c r="N183" s="74">
        <v>0</v>
      </c>
      <c r="O183" s="61">
        <f t="shared" ref="O183:Q183" si="923">AA183+AD183+AG183+AJ183+AM183+AP183+AS183+AV183+AY183+BB183+BE183+BH183</f>
        <v>0</v>
      </c>
      <c r="P183" s="61">
        <f t="shared" si="923"/>
        <v>0</v>
      </c>
      <c r="Q183" s="61">
        <f t="shared" si="923"/>
        <v>0</v>
      </c>
      <c r="R183" s="61">
        <f t="shared" ref="R183:T183" si="924">IF(BK183=0,SUM(AA183+AD183+AG183+AJ183+AM183+AP183+AS183+AV183+AY183+BB183+BE183+BH183),BK183)</f>
        <v>0</v>
      </c>
      <c r="S183" s="61">
        <f t="shared" si="924"/>
        <v>0</v>
      </c>
      <c r="T183" s="61">
        <f t="shared" si="924"/>
        <v>0</v>
      </c>
      <c r="U183" s="63">
        <f t="shared" si="867"/>
        <v>0</v>
      </c>
      <c r="V183" s="63">
        <f>L183-M183-S183</f>
        <v>0</v>
      </c>
      <c r="W183" s="63">
        <f t="shared" si="868"/>
        <v>0</v>
      </c>
      <c r="X183" s="64">
        <f t="shared" ref="X183:Y183" si="925">IF(O183&gt;0,O183/K183,0)</f>
        <v>0</v>
      </c>
      <c r="Y183" s="64">
        <f t="shared" si="925"/>
        <v>0</v>
      </c>
      <c r="Z183" s="64">
        <f t="shared" si="863"/>
        <v>0</v>
      </c>
      <c r="AA183" s="66"/>
      <c r="AB183" s="66"/>
      <c r="AC183" s="66"/>
      <c r="AD183" s="66"/>
      <c r="AE183" s="66"/>
      <c r="AF183" s="66"/>
      <c r="AG183" s="66"/>
      <c r="AH183" s="66"/>
      <c r="AI183" s="66"/>
      <c r="AJ183" s="66"/>
      <c r="AK183" s="66"/>
      <c r="AL183" s="66"/>
      <c r="AM183" s="66"/>
      <c r="AN183" s="66"/>
      <c r="AO183" s="66"/>
      <c r="AP183" s="66"/>
      <c r="AQ183" s="66"/>
      <c r="AR183" s="66"/>
      <c r="AS183" s="66"/>
      <c r="AT183" s="66"/>
      <c r="AU183" s="66"/>
      <c r="AV183" s="66"/>
      <c r="AW183" s="66"/>
      <c r="AX183" s="66"/>
      <c r="AY183" s="66"/>
      <c r="AZ183" s="66"/>
      <c r="BA183" s="66"/>
      <c r="BB183" s="66"/>
      <c r="BC183" s="66"/>
      <c r="BD183" s="66"/>
      <c r="BE183" s="66"/>
      <c r="BF183" s="66"/>
      <c r="BG183" s="66"/>
      <c r="BH183" s="247"/>
      <c r="BI183" s="66"/>
      <c r="BJ183" s="66"/>
      <c r="BK183" s="244">
        <v>0</v>
      </c>
      <c r="BL183" s="244">
        <v>0</v>
      </c>
      <c r="BM183" s="244">
        <v>0</v>
      </c>
      <c r="BN183" s="65">
        <f>IF(O183-BK183&gt;0,O183-BK183,0)</f>
        <v>0</v>
      </c>
      <c r="BO183" s="67">
        <f>IF(Q183-BM183&gt;0,Q183-BM183,0)</f>
        <v>0</v>
      </c>
      <c r="BP183" s="65">
        <f>IF(BN183+BO183&gt;0,BN183+BO183,0)</f>
        <v>0</v>
      </c>
      <c r="BQ183" s="65">
        <f>IF(U183=0,0,U183)</f>
        <v>0</v>
      </c>
      <c r="BR183" s="65">
        <f>IF(W183=0,0,W183)</f>
        <v>0</v>
      </c>
      <c r="BS183" s="65">
        <f>IF(BQ183+BR183&gt;0,BQ183+BR183,0)</f>
        <v>0</v>
      </c>
      <c r="BT183" s="65">
        <f>IF(V183&gt;0,V183,0)</f>
        <v>0</v>
      </c>
      <c r="BU183" s="65">
        <f>IF(BP183=0,0,BP183)</f>
        <v>0</v>
      </c>
      <c r="BV183" s="65">
        <f>IF(BS183=0,0,BS183)</f>
        <v>0</v>
      </c>
      <c r="BW183" s="65">
        <f>IF(BP183+BT183+BV183&gt;0,BP183+BT183+BV183,0)</f>
        <v>0</v>
      </c>
      <c r="BX183" s="6"/>
      <c r="BY183" s="6"/>
      <c r="BZ183" s="6"/>
      <c r="CA183" s="6"/>
      <c r="CB183" s="6"/>
      <c r="CC183" s="6"/>
      <c r="CD183" s="6"/>
      <c r="CE183" s="6"/>
      <c r="CF183" s="6"/>
      <c r="CG183" s="6"/>
    </row>
    <row r="184" spans="1:85" ht="15.75" customHeight="1">
      <c r="A184" s="75"/>
      <c r="B184" s="255"/>
      <c r="C184" s="77"/>
      <c r="D184" s="78" t="s">
        <v>337</v>
      </c>
      <c r="E184" s="45">
        <f t="shared" ref="E184:H184" si="926">E185</f>
        <v>10846.210000000003</v>
      </c>
      <c r="F184" s="46">
        <f t="shared" si="926"/>
        <v>0</v>
      </c>
      <c r="G184" s="46">
        <f t="shared" si="926"/>
        <v>10846.210000000003</v>
      </c>
      <c r="H184" s="46">
        <f t="shared" si="926"/>
        <v>0</v>
      </c>
      <c r="I184" s="47">
        <f t="shared" si="732"/>
        <v>0</v>
      </c>
      <c r="J184" s="47">
        <f t="shared" si="733"/>
        <v>0</v>
      </c>
      <c r="K184" s="46">
        <f t="shared" ref="K184:N184" si="927">K185</f>
        <v>0</v>
      </c>
      <c r="L184" s="46">
        <f t="shared" si="927"/>
        <v>0</v>
      </c>
      <c r="M184" s="46">
        <f t="shared" si="927"/>
        <v>0</v>
      </c>
      <c r="N184" s="46">
        <f t="shared" si="927"/>
        <v>0</v>
      </c>
      <c r="O184" s="49">
        <f t="shared" ref="O184:Q184" si="928">AA184+AD184+AG184+AJ184+AM184+AP184+AS184+AV184+AY184+BB184+BE184+BH184</f>
        <v>0</v>
      </c>
      <c r="P184" s="49">
        <f t="shared" si="928"/>
        <v>0</v>
      </c>
      <c r="Q184" s="49">
        <f t="shared" si="928"/>
        <v>0</v>
      </c>
      <c r="R184" s="49">
        <f t="shared" ref="R184:T184" si="929">IF(BK184=0,SUM(AA184+AD184+AG184+AJ184+AM184+AP184+AS184+AV184+AY184+BB184+BE184+BH184),BK184)</f>
        <v>0</v>
      </c>
      <c r="S184" s="49">
        <f t="shared" si="929"/>
        <v>0</v>
      </c>
      <c r="T184" s="49">
        <f t="shared" si="929"/>
        <v>0</v>
      </c>
      <c r="U184" s="48">
        <f t="shared" si="867"/>
        <v>0</v>
      </c>
      <c r="V184" s="48">
        <f>L184-P184-M184</f>
        <v>0</v>
      </c>
      <c r="W184" s="48">
        <f t="shared" si="868"/>
        <v>0</v>
      </c>
      <c r="X184" s="50">
        <f t="shared" ref="X184:Y184" si="930">IF(O184&gt;0,O184/K184,0)</f>
        <v>0</v>
      </c>
      <c r="Y184" s="50">
        <f t="shared" si="930"/>
        <v>0</v>
      </c>
      <c r="Z184" s="50">
        <f t="shared" si="863"/>
        <v>0</v>
      </c>
      <c r="AA184" s="256">
        <f>AA185</f>
        <v>0</v>
      </c>
      <c r="AB184" s="256">
        <f t="shared" ref="AB184" si="931">AB185</f>
        <v>0</v>
      </c>
      <c r="AC184" s="256">
        <f t="shared" ref="AC184" si="932">AC185</f>
        <v>0</v>
      </c>
      <c r="AD184" s="256">
        <f t="shared" ref="AD184" si="933">AD185</f>
        <v>0</v>
      </c>
      <c r="AE184" s="256">
        <f t="shared" ref="AE184" si="934">AE185</f>
        <v>0</v>
      </c>
      <c r="AF184" s="256">
        <f t="shared" ref="AF184" si="935">AF185</f>
        <v>0</v>
      </c>
      <c r="AG184" s="256">
        <f t="shared" ref="AG184" si="936">AG185</f>
        <v>0</v>
      </c>
      <c r="AH184" s="256">
        <f t="shared" ref="AH184" si="937">AH185</f>
        <v>0</v>
      </c>
      <c r="AI184" s="256">
        <f t="shared" ref="AI184" si="938">AI185</f>
        <v>0</v>
      </c>
      <c r="AJ184" s="256">
        <f t="shared" ref="AJ184" si="939">AJ185</f>
        <v>0</v>
      </c>
      <c r="AK184" s="256">
        <f t="shared" ref="AK184" si="940">AK185</f>
        <v>0</v>
      </c>
      <c r="AL184" s="256">
        <f t="shared" ref="AL184" si="941">AL185</f>
        <v>0</v>
      </c>
      <c r="AM184" s="256">
        <f t="shared" ref="AM184" si="942">AM185</f>
        <v>0</v>
      </c>
      <c r="AN184" s="256">
        <f t="shared" ref="AN184" si="943">AN185</f>
        <v>0</v>
      </c>
      <c r="AO184" s="256">
        <f t="shared" ref="AO184" si="944">AO185</f>
        <v>0</v>
      </c>
      <c r="AP184" s="256">
        <f t="shared" ref="AP184" si="945">AP185</f>
        <v>0</v>
      </c>
      <c r="AQ184" s="256">
        <f t="shared" ref="AQ184" si="946">AQ185</f>
        <v>0</v>
      </c>
      <c r="AR184" s="256">
        <f t="shared" ref="AR184" si="947">AR185</f>
        <v>0</v>
      </c>
      <c r="AS184" s="256">
        <f t="shared" ref="AS184" si="948">AS185</f>
        <v>0</v>
      </c>
      <c r="AT184" s="256">
        <f t="shared" ref="AT184" si="949">AT185</f>
        <v>0</v>
      </c>
      <c r="AU184" s="256">
        <f t="shared" ref="AU184" si="950">AU185</f>
        <v>0</v>
      </c>
      <c r="AV184" s="256">
        <f t="shared" ref="AV184" si="951">AV185</f>
        <v>0</v>
      </c>
      <c r="AW184" s="256">
        <f t="shared" ref="AW184" si="952">AW185</f>
        <v>0</v>
      </c>
      <c r="AX184" s="256">
        <f t="shared" ref="AX184" si="953">AX185</f>
        <v>0</v>
      </c>
      <c r="AY184" s="256">
        <f t="shared" ref="AY184" si="954">AY185</f>
        <v>0</v>
      </c>
      <c r="AZ184" s="256">
        <f t="shared" ref="AZ184" si="955">AZ185</f>
        <v>0</v>
      </c>
      <c r="BA184" s="256">
        <f t="shared" ref="BA184" si="956">BA185</f>
        <v>0</v>
      </c>
      <c r="BB184" s="256">
        <f t="shared" ref="BB184" si="957">BB185</f>
        <v>0</v>
      </c>
      <c r="BC184" s="256">
        <f t="shared" ref="BC184" si="958">BC185</f>
        <v>0</v>
      </c>
      <c r="BD184" s="256">
        <f t="shared" ref="BD184" si="959">BD185</f>
        <v>0</v>
      </c>
      <c r="BE184" s="256">
        <f t="shared" ref="BE184" si="960">BE185</f>
        <v>0</v>
      </c>
      <c r="BF184" s="256">
        <f t="shared" ref="BF184" si="961">BF185</f>
        <v>0</v>
      </c>
      <c r="BG184" s="256">
        <f t="shared" ref="BG184" si="962">BG185</f>
        <v>0</v>
      </c>
      <c r="BH184" s="256">
        <f t="shared" ref="BH184" si="963">BH185</f>
        <v>0</v>
      </c>
      <c r="BI184" s="256">
        <f t="shared" ref="BI184" si="964">BI185</f>
        <v>0</v>
      </c>
      <c r="BJ184" s="256">
        <f t="shared" ref="BJ184" si="965">BJ185</f>
        <v>0</v>
      </c>
      <c r="BK184" s="256">
        <f t="shared" ref="BK184" si="966">BK185</f>
        <v>0</v>
      </c>
      <c r="BL184" s="256">
        <f t="shared" ref="BL184" si="967">BL185</f>
        <v>0</v>
      </c>
      <c r="BM184" s="256">
        <f t="shared" ref="BM184" si="968">BM185</f>
        <v>0</v>
      </c>
      <c r="BN184" s="256">
        <f t="shared" ref="BN184" si="969">BN185</f>
        <v>0</v>
      </c>
      <c r="BO184" s="256">
        <f t="shared" ref="BO184" si="970">BO185</f>
        <v>0</v>
      </c>
      <c r="BP184" s="256">
        <f t="shared" ref="BP184" si="971">BP185</f>
        <v>0</v>
      </c>
      <c r="BQ184" s="256">
        <f t="shared" ref="BQ184" si="972">BQ185</f>
        <v>0</v>
      </c>
      <c r="BR184" s="256">
        <f t="shared" ref="BR184" si="973">BR185</f>
        <v>0</v>
      </c>
      <c r="BS184" s="256">
        <f t="shared" ref="BS184" si="974">BS185</f>
        <v>0</v>
      </c>
      <c r="BT184" s="256">
        <f t="shared" ref="BT184" si="975">BT185</f>
        <v>0</v>
      </c>
      <c r="BU184" s="256">
        <f t="shared" ref="BU184" si="976">BU185</f>
        <v>0</v>
      </c>
      <c r="BV184" s="256">
        <f t="shared" ref="BV184" si="977">BV185</f>
        <v>0</v>
      </c>
      <c r="BW184" s="256">
        <f t="shared" ref="BW184" si="978">BW185</f>
        <v>0</v>
      </c>
      <c r="BX184" s="51"/>
      <c r="BY184" s="51"/>
      <c r="BZ184" s="51"/>
      <c r="CA184" s="51"/>
      <c r="CB184" s="51"/>
      <c r="CC184" s="51"/>
      <c r="CD184" s="51"/>
      <c r="CE184" s="51"/>
      <c r="CF184" s="51"/>
      <c r="CG184" s="51"/>
    </row>
    <row r="185" spans="1:85" ht="15.75" customHeight="1">
      <c r="A185" s="257"/>
      <c r="B185" s="258"/>
      <c r="C185" s="81" t="s">
        <v>335</v>
      </c>
      <c r="D185" s="254" t="s">
        <v>336</v>
      </c>
      <c r="E185" s="56">
        <f>38807.9-27961.69</f>
        <v>10846.210000000003</v>
      </c>
      <c r="F185" s="57">
        <v>0</v>
      </c>
      <c r="G185" s="58">
        <f>E185-F185</f>
        <v>10846.210000000003</v>
      </c>
      <c r="H185" s="57">
        <v>0</v>
      </c>
      <c r="I185" s="59">
        <f t="shared" si="732"/>
        <v>0</v>
      </c>
      <c r="J185" s="59">
        <f t="shared" si="733"/>
        <v>0</v>
      </c>
      <c r="K185" s="74">
        <v>0</v>
      </c>
      <c r="L185" s="74">
        <v>0</v>
      </c>
      <c r="M185" s="74">
        <v>0</v>
      </c>
      <c r="N185" s="74">
        <v>0</v>
      </c>
      <c r="O185" s="61">
        <f t="shared" ref="O185:Q185" si="979">AA185+AD185+AG185+AJ185+AM185+AP185+AS185+AV185+AY185+BB185+BE185+BH185</f>
        <v>0</v>
      </c>
      <c r="P185" s="61">
        <f t="shared" si="979"/>
        <v>0</v>
      </c>
      <c r="Q185" s="61">
        <f t="shared" si="979"/>
        <v>0</v>
      </c>
      <c r="R185" s="61">
        <f t="shared" ref="R185:T185" si="980">IF(BK185=0,SUM(AA185+AD185+AG185+AJ185+AM185+AP185+AS185+AV185+AY185+BB185+BE185+BH185),BK185)</f>
        <v>0</v>
      </c>
      <c r="S185" s="61">
        <f t="shared" si="980"/>
        <v>0</v>
      </c>
      <c r="T185" s="61">
        <f t="shared" si="980"/>
        <v>0</v>
      </c>
      <c r="U185" s="63">
        <f t="shared" si="867"/>
        <v>0</v>
      </c>
      <c r="V185" s="63">
        <f>L185-M185-S185</f>
        <v>0</v>
      </c>
      <c r="W185" s="63">
        <f t="shared" si="868"/>
        <v>0</v>
      </c>
      <c r="X185" s="64">
        <f t="shared" ref="X185:Y185" si="981">IF(O185&gt;0,O185/K185,0)</f>
        <v>0</v>
      </c>
      <c r="Y185" s="64">
        <f t="shared" si="981"/>
        <v>0</v>
      </c>
      <c r="Z185" s="64">
        <f t="shared" si="863"/>
        <v>0</v>
      </c>
      <c r="AA185" s="66"/>
      <c r="AB185" s="66"/>
      <c r="AC185" s="66"/>
      <c r="AD185" s="66"/>
      <c r="AE185" s="66"/>
      <c r="AF185" s="66"/>
      <c r="AG185" s="66"/>
      <c r="AH185" s="66"/>
      <c r="AI185" s="66"/>
      <c r="AJ185" s="66"/>
      <c r="AK185" s="66"/>
      <c r="AL185" s="66"/>
      <c r="AM185" s="66"/>
      <c r="AN185" s="66"/>
      <c r="AO185" s="66"/>
      <c r="AP185" s="66"/>
      <c r="AQ185" s="66"/>
      <c r="AR185" s="66"/>
      <c r="AS185" s="66"/>
      <c r="AT185" s="66"/>
      <c r="AU185" s="66"/>
      <c r="AV185" s="66"/>
      <c r="AW185" s="66"/>
      <c r="AX185" s="66"/>
      <c r="AY185" s="66"/>
      <c r="AZ185" s="66"/>
      <c r="BA185" s="66"/>
      <c r="BB185" s="66"/>
      <c r="BC185" s="66"/>
      <c r="BD185" s="66"/>
      <c r="BE185" s="66"/>
      <c r="BF185" s="66"/>
      <c r="BG185" s="66"/>
      <c r="BH185" s="247"/>
      <c r="BI185" s="66"/>
      <c r="BJ185" s="66"/>
      <c r="BK185" s="244">
        <v>0</v>
      </c>
      <c r="BL185" s="244">
        <v>0</v>
      </c>
      <c r="BM185" s="244">
        <v>0</v>
      </c>
      <c r="BN185" s="65">
        <f>IF(O185-BK185&gt;0,O185-BK185,0)</f>
        <v>0</v>
      </c>
      <c r="BO185" s="67">
        <f>IF(Q185-BM185&gt;0,Q185-BM185,0)</f>
        <v>0</v>
      </c>
      <c r="BP185" s="65">
        <f>IF(BN185+BO185&gt;0,BN185+BO185,0)</f>
        <v>0</v>
      </c>
      <c r="BQ185" s="65">
        <f>IF(U185=0,0,U185)</f>
        <v>0</v>
      </c>
      <c r="BR185" s="65">
        <f>IF(W185=0,0,W185)</f>
        <v>0</v>
      </c>
      <c r="BS185" s="65">
        <f>IF(BQ185+BR185&gt;0,BQ185+BR185,0)</f>
        <v>0</v>
      </c>
      <c r="BT185" s="65">
        <f>IF(V185&gt;0,V185,0)</f>
        <v>0</v>
      </c>
      <c r="BU185" s="65">
        <f>IF(BP185=0,0,BP185)</f>
        <v>0</v>
      </c>
      <c r="BV185" s="65">
        <f>IF(BS185=0,0,BS185)</f>
        <v>0</v>
      </c>
      <c r="BW185" s="65">
        <f>IF(BP185+BT185+BV185&gt;0,BP185+BT185+BV185,0)</f>
        <v>0</v>
      </c>
      <c r="BX185" s="6"/>
      <c r="BY185" s="6"/>
      <c r="BZ185" s="6"/>
      <c r="CA185" s="6"/>
      <c r="CB185" s="6"/>
      <c r="CC185" s="6"/>
      <c r="CD185" s="6"/>
      <c r="CE185" s="6"/>
      <c r="CF185" s="6"/>
      <c r="CG185" s="6"/>
    </row>
    <row r="186" spans="1:85" ht="15.75" customHeight="1">
      <c r="A186" s="259"/>
      <c r="B186" s="249"/>
      <c r="C186" s="250"/>
      <c r="D186" s="251" t="s">
        <v>338</v>
      </c>
      <c r="E186" s="38">
        <f t="shared" ref="E186:H186" si="982">E187+E190+E192+E194</f>
        <v>19403.949999999997</v>
      </c>
      <c r="F186" s="252">
        <f t="shared" si="982"/>
        <v>0</v>
      </c>
      <c r="G186" s="252">
        <f t="shared" si="982"/>
        <v>19403.949999999997</v>
      </c>
      <c r="H186" s="252">
        <f t="shared" si="982"/>
        <v>0</v>
      </c>
      <c r="I186" s="39">
        <f t="shared" si="732"/>
        <v>0</v>
      </c>
      <c r="J186" s="39">
        <f t="shared" si="733"/>
        <v>0</v>
      </c>
      <c r="K186" s="252">
        <f t="shared" ref="K186:W186" si="983">K187+K190+K192+K194</f>
        <v>0</v>
      </c>
      <c r="L186" s="252">
        <f t="shared" si="983"/>
        <v>0</v>
      </c>
      <c r="M186" s="252">
        <f t="shared" si="983"/>
        <v>0</v>
      </c>
      <c r="N186" s="252">
        <f t="shared" si="983"/>
        <v>0</v>
      </c>
      <c r="O186" s="252">
        <f t="shared" si="983"/>
        <v>0</v>
      </c>
      <c r="P186" s="252">
        <f t="shared" si="983"/>
        <v>0</v>
      </c>
      <c r="Q186" s="252">
        <f t="shared" si="983"/>
        <v>0</v>
      </c>
      <c r="R186" s="252">
        <f t="shared" si="983"/>
        <v>0</v>
      </c>
      <c r="S186" s="252">
        <f t="shared" si="983"/>
        <v>0</v>
      </c>
      <c r="T186" s="252">
        <f t="shared" si="983"/>
        <v>0</v>
      </c>
      <c r="U186" s="252">
        <f t="shared" si="983"/>
        <v>0</v>
      </c>
      <c r="V186" s="252">
        <f t="shared" si="983"/>
        <v>0</v>
      </c>
      <c r="W186" s="252">
        <f t="shared" si="983"/>
        <v>0</v>
      </c>
      <c r="X186" s="40">
        <f t="shared" ref="X186:Y186" si="984">IF(O186&gt;0,O186/K186,0)</f>
        <v>0</v>
      </c>
      <c r="Y186" s="40">
        <f t="shared" si="984"/>
        <v>0</v>
      </c>
      <c r="Z186" s="40">
        <f t="shared" si="863"/>
        <v>0</v>
      </c>
      <c r="AA186" s="252">
        <f t="shared" ref="AA186:BW186" si="985">AA187+AA190+AA192+AA194</f>
        <v>0</v>
      </c>
      <c r="AB186" s="252">
        <f t="shared" si="985"/>
        <v>0</v>
      </c>
      <c r="AC186" s="252">
        <f t="shared" si="985"/>
        <v>0</v>
      </c>
      <c r="AD186" s="252">
        <f t="shared" si="985"/>
        <v>0</v>
      </c>
      <c r="AE186" s="252">
        <f t="shared" si="985"/>
        <v>0</v>
      </c>
      <c r="AF186" s="252">
        <f t="shared" si="985"/>
        <v>0</v>
      </c>
      <c r="AG186" s="252">
        <f t="shared" si="985"/>
        <v>0</v>
      </c>
      <c r="AH186" s="252">
        <f t="shared" si="985"/>
        <v>0</v>
      </c>
      <c r="AI186" s="252">
        <f t="shared" si="985"/>
        <v>0</v>
      </c>
      <c r="AJ186" s="252">
        <f t="shared" si="985"/>
        <v>0</v>
      </c>
      <c r="AK186" s="252">
        <f t="shared" si="985"/>
        <v>0</v>
      </c>
      <c r="AL186" s="252">
        <f t="shared" si="985"/>
        <v>0</v>
      </c>
      <c r="AM186" s="252">
        <f t="shared" si="985"/>
        <v>0</v>
      </c>
      <c r="AN186" s="252">
        <f t="shared" si="985"/>
        <v>0</v>
      </c>
      <c r="AO186" s="252">
        <f t="shared" si="985"/>
        <v>0</v>
      </c>
      <c r="AP186" s="252">
        <f t="shared" si="985"/>
        <v>0</v>
      </c>
      <c r="AQ186" s="252">
        <f t="shared" si="985"/>
        <v>0</v>
      </c>
      <c r="AR186" s="252">
        <f t="shared" si="985"/>
        <v>0</v>
      </c>
      <c r="AS186" s="252">
        <f t="shared" si="985"/>
        <v>0</v>
      </c>
      <c r="AT186" s="252">
        <f t="shared" si="985"/>
        <v>0</v>
      </c>
      <c r="AU186" s="252">
        <f t="shared" si="985"/>
        <v>0</v>
      </c>
      <c r="AV186" s="252">
        <f t="shared" si="985"/>
        <v>0</v>
      </c>
      <c r="AW186" s="252">
        <f t="shared" si="985"/>
        <v>0</v>
      </c>
      <c r="AX186" s="252">
        <f t="shared" si="985"/>
        <v>0</v>
      </c>
      <c r="AY186" s="252">
        <f t="shared" si="985"/>
        <v>0</v>
      </c>
      <c r="AZ186" s="252">
        <f t="shared" si="985"/>
        <v>0</v>
      </c>
      <c r="BA186" s="252">
        <f t="shared" si="985"/>
        <v>0</v>
      </c>
      <c r="BB186" s="252">
        <f t="shared" si="985"/>
        <v>0</v>
      </c>
      <c r="BC186" s="252">
        <f t="shared" si="985"/>
        <v>0</v>
      </c>
      <c r="BD186" s="252">
        <f t="shared" si="985"/>
        <v>0</v>
      </c>
      <c r="BE186" s="252">
        <f t="shared" si="985"/>
        <v>0</v>
      </c>
      <c r="BF186" s="252">
        <f t="shared" si="985"/>
        <v>0</v>
      </c>
      <c r="BG186" s="252">
        <f t="shared" si="985"/>
        <v>0</v>
      </c>
      <c r="BH186" s="252">
        <f t="shared" si="985"/>
        <v>0</v>
      </c>
      <c r="BI186" s="252">
        <f t="shared" si="985"/>
        <v>0</v>
      </c>
      <c r="BJ186" s="252">
        <f t="shared" si="985"/>
        <v>0</v>
      </c>
      <c r="BK186" s="252">
        <f t="shared" si="985"/>
        <v>0</v>
      </c>
      <c r="BL186" s="252">
        <f t="shared" si="985"/>
        <v>0</v>
      </c>
      <c r="BM186" s="252">
        <f t="shared" si="985"/>
        <v>0</v>
      </c>
      <c r="BN186" s="252">
        <f t="shared" si="985"/>
        <v>0</v>
      </c>
      <c r="BO186" s="252">
        <f t="shared" si="985"/>
        <v>0</v>
      </c>
      <c r="BP186" s="252">
        <f t="shared" si="985"/>
        <v>0</v>
      </c>
      <c r="BQ186" s="252">
        <f t="shared" si="985"/>
        <v>0</v>
      </c>
      <c r="BR186" s="252">
        <f t="shared" si="985"/>
        <v>0</v>
      </c>
      <c r="BS186" s="252">
        <f t="shared" si="985"/>
        <v>0</v>
      </c>
      <c r="BT186" s="252">
        <f t="shared" si="985"/>
        <v>0</v>
      </c>
      <c r="BU186" s="252">
        <f t="shared" si="985"/>
        <v>0</v>
      </c>
      <c r="BV186" s="252">
        <f t="shared" si="985"/>
        <v>0</v>
      </c>
      <c r="BW186" s="252">
        <f t="shared" si="985"/>
        <v>0</v>
      </c>
      <c r="BX186" s="6"/>
      <c r="BY186" s="6"/>
      <c r="BZ186" s="6"/>
      <c r="CA186" s="6"/>
      <c r="CB186" s="6"/>
      <c r="CC186" s="6"/>
      <c r="CD186" s="6"/>
      <c r="CE186" s="6"/>
      <c r="CF186" s="6"/>
      <c r="CG186" s="6"/>
    </row>
    <row r="187" spans="1:85" ht="15.75">
      <c r="A187" s="260"/>
      <c r="B187" s="261"/>
      <c r="C187" s="262"/>
      <c r="D187" s="78" t="s">
        <v>67</v>
      </c>
      <c r="E187" s="45">
        <f t="shared" ref="E187:H187" si="986">E188+E189</f>
        <v>3000</v>
      </c>
      <c r="F187" s="45">
        <f t="shared" si="986"/>
        <v>0</v>
      </c>
      <c r="G187" s="45">
        <f t="shared" si="986"/>
        <v>3000</v>
      </c>
      <c r="H187" s="45">
        <f t="shared" si="986"/>
        <v>0</v>
      </c>
      <c r="I187" s="47">
        <f t="shared" si="732"/>
        <v>0</v>
      </c>
      <c r="J187" s="47">
        <f t="shared" si="733"/>
        <v>0</v>
      </c>
      <c r="K187" s="45">
        <f t="shared" ref="K187:W187" si="987">K188+K189</f>
        <v>0</v>
      </c>
      <c r="L187" s="45">
        <f t="shared" si="987"/>
        <v>0</v>
      </c>
      <c r="M187" s="45">
        <f t="shared" si="987"/>
        <v>0</v>
      </c>
      <c r="N187" s="45">
        <f t="shared" si="987"/>
        <v>0</v>
      </c>
      <c r="O187" s="45">
        <f t="shared" si="987"/>
        <v>0</v>
      </c>
      <c r="P187" s="45">
        <f t="shared" si="987"/>
        <v>0</v>
      </c>
      <c r="Q187" s="45">
        <f t="shared" si="987"/>
        <v>0</v>
      </c>
      <c r="R187" s="45">
        <f t="shared" si="987"/>
        <v>0</v>
      </c>
      <c r="S187" s="45">
        <f t="shared" si="987"/>
        <v>0</v>
      </c>
      <c r="T187" s="45">
        <f t="shared" si="987"/>
        <v>0</v>
      </c>
      <c r="U187" s="45">
        <f t="shared" si="987"/>
        <v>0</v>
      </c>
      <c r="V187" s="45">
        <f t="shared" si="987"/>
        <v>0</v>
      </c>
      <c r="W187" s="45">
        <f t="shared" si="987"/>
        <v>0</v>
      </c>
      <c r="X187" s="50">
        <f t="shared" ref="X187:Y187" si="988">IF(O187&gt;0,O187/K187,0)</f>
        <v>0</v>
      </c>
      <c r="Y187" s="50">
        <f t="shared" si="988"/>
        <v>0</v>
      </c>
      <c r="Z187" s="50">
        <f t="shared" si="863"/>
        <v>0</v>
      </c>
      <c r="AA187" s="45">
        <f t="shared" ref="AA187:BW187" si="989">AA188+AA189</f>
        <v>0</v>
      </c>
      <c r="AB187" s="45">
        <f t="shared" si="989"/>
        <v>0</v>
      </c>
      <c r="AC187" s="45">
        <f t="shared" si="989"/>
        <v>0</v>
      </c>
      <c r="AD187" s="45">
        <f t="shared" si="989"/>
        <v>0</v>
      </c>
      <c r="AE187" s="45">
        <f t="shared" si="989"/>
        <v>0</v>
      </c>
      <c r="AF187" s="45">
        <f t="shared" si="989"/>
        <v>0</v>
      </c>
      <c r="AG187" s="45">
        <f t="shared" si="989"/>
        <v>0</v>
      </c>
      <c r="AH187" s="45">
        <f t="shared" si="989"/>
        <v>0</v>
      </c>
      <c r="AI187" s="45">
        <f t="shared" si="989"/>
        <v>0</v>
      </c>
      <c r="AJ187" s="45">
        <f t="shared" si="989"/>
        <v>0</v>
      </c>
      <c r="AK187" s="45">
        <f t="shared" si="989"/>
        <v>0</v>
      </c>
      <c r="AL187" s="45">
        <f t="shared" si="989"/>
        <v>0</v>
      </c>
      <c r="AM187" s="45">
        <f t="shared" si="989"/>
        <v>0</v>
      </c>
      <c r="AN187" s="45">
        <f t="shared" si="989"/>
        <v>0</v>
      </c>
      <c r="AO187" s="45">
        <f t="shared" si="989"/>
        <v>0</v>
      </c>
      <c r="AP187" s="45">
        <f t="shared" si="989"/>
        <v>0</v>
      </c>
      <c r="AQ187" s="45">
        <f t="shared" si="989"/>
        <v>0</v>
      </c>
      <c r="AR187" s="45">
        <f t="shared" si="989"/>
        <v>0</v>
      </c>
      <c r="AS187" s="45">
        <f t="shared" si="989"/>
        <v>0</v>
      </c>
      <c r="AT187" s="45">
        <f t="shared" si="989"/>
        <v>0</v>
      </c>
      <c r="AU187" s="45">
        <f t="shared" si="989"/>
        <v>0</v>
      </c>
      <c r="AV187" s="45">
        <f t="shared" si="989"/>
        <v>0</v>
      </c>
      <c r="AW187" s="45">
        <f t="shared" si="989"/>
        <v>0</v>
      </c>
      <c r="AX187" s="45">
        <f t="shared" si="989"/>
        <v>0</v>
      </c>
      <c r="AY187" s="45">
        <f t="shared" si="989"/>
        <v>0</v>
      </c>
      <c r="AZ187" s="45">
        <f t="shared" si="989"/>
        <v>0</v>
      </c>
      <c r="BA187" s="45">
        <f t="shared" si="989"/>
        <v>0</v>
      </c>
      <c r="BB187" s="45">
        <f t="shared" si="989"/>
        <v>0</v>
      </c>
      <c r="BC187" s="45">
        <f t="shared" si="989"/>
        <v>0</v>
      </c>
      <c r="BD187" s="45">
        <f t="shared" si="989"/>
        <v>0</v>
      </c>
      <c r="BE187" s="45">
        <f t="shared" si="989"/>
        <v>0</v>
      </c>
      <c r="BF187" s="45">
        <f t="shared" si="989"/>
        <v>0</v>
      </c>
      <c r="BG187" s="45">
        <f t="shared" si="989"/>
        <v>0</v>
      </c>
      <c r="BH187" s="45">
        <f t="shared" si="989"/>
        <v>0</v>
      </c>
      <c r="BI187" s="45">
        <f t="shared" si="989"/>
        <v>0</v>
      </c>
      <c r="BJ187" s="45">
        <f t="shared" si="989"/>
        <v>0</v>
      </c>
      <c r="BK187" s="45">
        <f t="shared" si="989"/>
        <v>0</v>
      </c>
      <c r="BL187" s="45">
        <f t="shared" si="989"/>
        <v>0</v>
      </c>
      <c r="BM187" s="45">
        <f t="shared" si="989"/>
        <v>0</v>
      </c>
      <c r="BN187" s="45">
        <f t="shared" si="989"/>
        <v>0</v>
      </c>
      <c r="BO187" s="45">
        <f t="shared" si="989"/>
        <v>0</v>
      </c>
      <c r="BP187" s="45">
        <f t="shared" si="989"/>
        <v>0</v>
      </c>
      <c r="BQ187" s="45">
        <f t="shared" si="989"/>
        <v>0</v>
      </c>
      <c r="BR187" s="45">
        <f t="shared" si="989"/>
        <v>0</v>
      </c>
      <c r="BS187" s="45">
        <f t="shared" si="989"/>
        <v>0</v>
      </c>
      <c r="BT187" s="45">
        <f t="shared" si="989"/>
        <v>0</v>
      </c>
      <c r="BU187" s="45">
        <f t="shared" si="989"/>
        <v>0</v>
      </c>
      <c r="BV187" s="45">
        <f t="shared" si="989"/>
        <v>0</v>
      </c>
      <c r="BW187" s="45">
        <f t="shared" si="989"/>
        <v>0</v>
      </c>
      <c r="BX187" s="6"/>
      <c r="BY187" s="6"/>
      <c r="BZ187" s="6"/>
      <c r="CA187" s="6"/>
      <c r="CB187" s="6"/>
      <c r="CC187" s="6"/>
      <c r="CD187" s="6"/>
      <c r="CE187" s="6"/>
      <c r="CF187" s="6"/>
      <c r="CG187" s="6"/>
    </row>
    <row r="188" spans="1:85" ht="15.75" customHeight="1">
      <c r="A188" s="81"/>
      <c r="B188" s="253"/>
      <c r="C188" s="81" t="s">
        <v>69</v>
      </c>
      <c r="D188" s="254" t="s">
        <v>70</v>
      </c>
      <c r="E188" s="56">
        <v>2000</v>
      </c>
      <c r="F188" s="57">
        <v>0</v>
      </c>
      <c r="G188" s="58">
        <f t="shared" ref="G188:G189" si="990">E188-F188</f>
        <v>2000</v>
      </c>
      <c r="H188" s="57">
        <v>0</v>
      </c>
      <c r="I188" s="59">
        <f t="shared" si="732"/>
        <v>0</v>
      </c>
      <c r="J188" s="59">
        <f t="shared" si="733"/>
        <v>0</v>
      </c>
      <c r="K188" s="74">
        <v>0</v>
      </c>
      <c r="L188" s="74">
        <v>0</v>
      </c>
      <c r="M188" s="74">
        <v>0</v>
      </c>
      <c r="N188" s="74">
        <v>0</v>
      </c>
      <c r="O188" s="61">
        <f t="shared" ref="O188:Q188" si="991">AA188+AD188+AG188+AJ188+AM188+AP188+AS188+AV188+AY188+BB188+BE188+BH188</f>
        <v>0</v>
      </c>
      <c r="P188" s="61">
        <f t="shared" si="991"/>
        <v>0</v>
      </c>
      <c r="Q188" s="61">
        <f t="shared" si="991"/>
        <v>0</v>
      </c>
      <c r="R188" s="61">
        <f t="shared" ref="R188:T188" si="992">IF(BK188=0,SUM(AA188+AD188+AG188+AJ188+AM188+AP188+AS188+AV188+AY188+BB188+BE188+BH188),BK188)</f>
        <v>0</v>
      </c>
      <c r="S188" s="61">
        <f t="shared" si="992"/>
        <v>0</v>
      </c>
      <c r="T188" s="61">
        <f t="shared" si="992"/>
        <v>0</v>
      </c>
      <c r="U188" s="63">
        <f t="shared" ref="U188:U195" si="993">K188-O188</f>
        <v>0</v>
      </c>
      <c r="V188" s="63">
        <f t="shared" ref="V188:V189" si="994">L188-M188-S188</f>
        <v>0</v>
      </c>
      <c r="W188" s="63">
        <f t="shared" ref="W188:W195" si="995">N188-Q188</f>
        <v>0</v>
      </c>
      <c r="X188" s="64">
        <f t="shared" ref="X188:Y188" si="996">IF(O188&gt;0,O188/K188,0)</f>
        <v>0</v>
      </c>
      <c r="Y188" s="64">
        <f t="shared" si="996"/>
        <v>0</v>
      </c>
      <c r="Z188" s="64">
        <f t="shared" si="863"/>
        <v>0</v>
      </c>
      <c r="AA188" s="65"/>
      <c r="AB188" s="65"/>
      <c r="AC188" s="65"/>
      <c r="AD188" s="65"/>
      <c r="AE188" s="66"/>
      <c r="AF188" s="66"/>
      <c r="AG188" s="66"/>
      <c r="AH188" s="66"/>
      <c r="AI188" s="65"/>
      <c r="AJ188" s="65"/>
      <c r="AK188" s="65"/>
      <c r="AL188" s="65"/>
      <c r="AM188" s="65"/>
      <c r="AN188" s="65"/>
      <c r="AO188" s="65"/>
      <c r="AP188" s="65"/>
      <c r="AQ188" s="65"/>
      <c r="AR188" s="65"/>
      <c r="AS188" s="65"/>
      <c r="AT188" s="65"/>
      <c r="AU188" s="65"/>
      <c r="AV188" s="65"/>
      <c r="AW188" s="65"/>
      <c r="AX188" s="65"/>
      <c r="AY188" s="65"/>
      <c r="AZ188" s="65"/>
      <c r="BA188" s="65"/>
      <c r="BB188" s="65"/>
      <c r="BC188" s="65"/>
      <c r="BD188" s="65"/>
      <c r="BE188" s="65"/>
      <c r="BF188" s="65"/>
      <c r="BG188" s="65"/>
      <c r="BH188" s="65"/>
      <c r="BI188" s="65"/>
      <c r="BJ188" s="65"/>
      <c r="BK188" s="244">
        <v>0</v>
      </c>
      <c r="BL188" s="244">
        <v>0</v>
      </c>
      <c r="BM188" s="244">
        <v>0</v>
      </c>
      <c r="BN188" s="65">
        <f t="shared" ref="BN188:BN189" si="997">IF(O188-BK188&gt;0,O188-BK188,0)</f>
        <v>0</v>
      </c>
      <c r="BO188" s="67">
        <f t="shared" ref="BO188:BO189" si="998">IF(Q188-BM188&gt;0,Q188-BM188,0)</f>
        <v>0</v>
      </c>
      <c r="BP188" s="65">
        <f t="shared" ref="BP188:BP189" si="999">IF(BN188+BO188&gt;0,BN188+BO188,0)</f>
        <v>0</v>
      </c>
      <c r="BQ188" s="65">
        <f t="shared" ref="BQ188:BQ189" si="1000">IF(U188=0,0,U188)</f>
        <v>0</v>
      </c>
      <c r="BR188" s="65">
        <f t="shared" ref="BR188:BR189" si="1001">IF(W188=0,0,W188)</f>
        <v>0</v>
      </c>
      <c r="BS188" s="65">
        <f t="shared" ref="BS188:BS189" si="1002">IF(BQ188+BR188&gt;0,BQ188+BR188,0)</f>
        <v>0</v>
      </c>
      <c r="BT188" s="65">
        <f t="shared" ref="BT188:BT189" si="1003">IF(V188&gt;0,V188,0)</f>
        <v>0</v>
      </c>
      <c r="BU188" s="65">
        <f t="shared" ref="BU188:BU189" si="1004">IF(BP188=0,0,BP188)</f>
        <v>0</v>
      </c>
      <c r="BV188" s="65">
        <f t="shared" ref="BV188:BV189" si="1005">IF(BS188=0,0,BS188)</f>
        <v>0</v>
      </c>
      <c r="BW188" s="65">
        <f t="shared" ref="BW188:BW189" si="1006">IF(BP188+BT188+BV188&gt;0,BP188+BT188+BV188,0)</f>
        <v>0</v>
      </c>
      <c r="BX188" s="6"/>
      <c r="BY188" s="6"/>
      <c r="BZ188" s="6"/>
      <c r="CA188" s="6"/>
      <c r="CB188" s="6"/>
      <c r="CC188" s="6"/>
      <c r="CD188" s="6"/>
      <c r="CE188" s="6"/>
      <c r="CF188" s="6"/>
      <c r="CG188" s="6"/>
    </row>
    <row r="189" spans="1:85" ht="15.75" customHeight="1">
      <c r="A189" s="71"/>
      <c r="B189" s="72"/>
      <c r="C189" s="71" t="s">
        <v>73</v>
      </c>
      <c r="D189" s="73" t="s">
        <v>74</v>
      </c>
      <c r="E189" s="56">
        <v>1000</v>
      </c>
      <c r="F189" s="57">
        <v>0</v>
      </c>
      <c r="G189" s="58">
        <f t="shared" si="990"/>
        <v>1000</v>
      </c>
      <c r="H189" s="57">
        <v>0</v>
      </c>
      <c r="I189" s="59">
        <f t="shared" si="732"/>
        <v>0</v>
      </c>
      <c r="J189" s="59">
        <f t="shared" si="733"/>
        <v>0</v>
      </c>
      <c r="K189" s="74">
        <v>0</v>
      </c>
      <c r="L189" s="74">
        <v>0</v>
      </c>
      <c r="M189" s="74">
        <v>0</v>
      </c>
      <c r="N189" s="74">
        <v>0</v>
      </c>
      <c r="O189" s="61">
        <f t="shared" ref="O189:Q189" si="1007">AA189+AD189+AG189+AJ189+AM189+AP189+AS189+AV189+AY189+BB189+BE189+BH189</f>
        <v>0</v>
      </c>
      <c r="P189" s="61">
        <f t="shared" si="1007"/>
        <v>0</v>
      </c>
      <c r="Q189" s="61">
        <f t="shared" si="1007"/>
        <v>0</v>
      </c>
      <c r="R189" s="61">
        <f t="shared" ref="R189:T189" si="1008">IF(BK189=0,SUM(AA189+AD189+AG189+AJ189+AM189+AP189+AS189+AV189+AY189+BB189+BE189+BH189),BK189)</f>
        <v>0</v>
      </c>
      <c r="S189" s="61">
        <f t="shared" si="1008"/>
        <v>0</v>
      </c>
      <c r="T189" s="61">
        <f t="shared" si="1008"/>
        <v>0</v>
      </c>
      <c r="U189" s="63">
        <f t="shared" si="993"/>
        <v>0</v>
      </c>
      <c r="V189" s="63">
        <f t="shared" si="994"/>
        <v>0</v>
      </c>
      <c r="W189" s="63">
        <f t="shared" si="995"/>
        <v>0</v>
      </c>
      <c r="X189" s="64"/>
      <c r="Y189" s="64"/>
      <c r="Z189" s="64"/>
      <c r="AA189" s="65"/>
      <c r="AB189" s="65"/>
      <c r="AC189" s="65"/>
      <c r="AD189" s="65"/>
      <c r="AE189" s="66"/>
      <c r="AF189" s="66"/>
      <c r="AG189" s="66"/>
      <c r="AH189" s="66"/>
      <c r="AI189" s="65"/>
      <c r="AJ189" s="65"/>
      <c r="AK189" s="65"/>
      <c r="AL189" s="65"/>
      <c r="AM189" s="65"/>
      <c r="AN189" s="65"/>
      <c r="AO189" s="65"/>
      <c r="AP189" s="65"/>
      <c r="AQ189" s="65"/>
      <c r="AR189" s="65"/>
      <c r="AS189" s="65"/>
      <c r="AT189" s="65"/>
      <c r="AU189" s="65"/>
      <c r="AV189" s="65"/>
      <c r="AW189" s="65"/>
      <c r="AX189" s="65"/>
      <c r="AY189" s="65"/>
      <c r="AZ189" s="65"/>
      <c r="BA189" s="65"/>
      <c r="BB189" s="65"/>
      <c r="BC189" s="65"/>
      <c r="BD189" s="65"/>
      <c r="BE189" s="65"/>
      <c r="BF189" s="65"/>
      <c r="BG189" s="65"/>
      <c r="BH189" s="65"/>
      <c r="BI189" s="65"/>
      <c r="BJ189" s="65"/>
      <c r="BK189" s="244">
        <v>0</v>
      </c>
      <c r="BL189" s="244">
        <v>0</v>
      </c>
      <c r="BM189" s="244">
        <v>0</v>
      </c>
      <c r="BN189" s="65">
        <f t="shared" si="997"/>
        <v>0</v>
      </c>
      <c r="BO189" s="67">
        <f t="shared" si="998"/>
        <v>0</v>
      </c>
      <c r="BP189" s="65">
        <f t="shared" si="999"/>
        <v>0</v>
      </c>
      <c r="BQ189" s="65">
        <f t="shared" si="1000"/>
        <v>0</v>
      </c>
      <c r="BR189" s="65">
        <f t="shared" si="1001"/>
        <v>0</v>
      </c>
      <c r="BS189" s="65">
        <f t="shared" si="1002"/>
        <v>0</v>
      </c>
      <c r="BT189" s="65">
        <f t="shared" si="1003"/>
        <v>0</v>
      </c>
      <c r="BU189" s="65">
        <f t="shared" si="1004"/>
        <v>0</v>
      </c>
      <c r="BV189" s="65">
        <f t="shared" si="1005"/>
        <v>0</v>
      </c>
      <c r="BW189" s="65">
        <f t="shared" si="1006"/>
        <v>0</v>
      </c>
      <c r="BX189" s="6"/>
      <c r="BY189" s="6"/>
      <c r="BZ189" s="6"/>
      <c r="CA189" s="6"/>
      <c r="CB189" s="6"/>
      <c r="CC189" s="6"/>
      <c r="CD189" s="6"/>
      <c r="CE189" s="6"/>
      <c r="CF189" s="6"/>
      <c r="CG189" s="6"/>
    </row>
    <row r="190" spans="1:85" ht="15.75">
      <c r="A190" s="260"/>
      <c r="B190" s="261"/>
      <c r="C190" s="262"/>
      <c r="D190" s="78" t="s">
        <v>83</v>
      </c>
      <c r="E190" s="45">
        <f t="shared" ref="E190:H190" si="1009">E191</f>
        <v>0</v>
      </c>
      <c r="F190" s="46">
        <f t="shared" si="1009"/>
        <v>0</v>
      </c>
      <c r="G190" s="46">
        <f t="shared" si="1009"/>
        <v>0</v>
      </c>
      <c r="H190" s="46">
        <f t="shared" si="1009"/>
        <v>0</v>
      </c>
      <c r="I190" s="47">
        <f t="shared" si="732"/>
        <v>0</v>
      </c>
      <c r="J190" s="47">
        <f t="shared" si="733"/>
        <v>0</v>
      </c>
      <c r="K190" s="46">
        <f t="shared" ref="K190:N190" si="1010">K191</f>
        <v>0</v>
      </c>
      <c r="L190" s="46">
        <f t="shared" si="1010"/>
        <v>0</v>
      </c>
      <c r="M190" s="46">
        <f t="shared" si="1010"/>
        <v>0</v>
      </c>
      <c r="N190" s="46">
        <f t="shared" si="1010"/>
        <v>0</v>
      </c>
      <c r="O190" s="49">
        <f t="shared" ref="O190:Q190" si="1011">AA190+AD190+AG190+AJ190+AM190+AP190+AS190+AV190+AY190+BB190+BE190+BH190</f>
        <v>0</v>
      </c>
      <c r="P190" s="49">
        <f t="shared" si="1011"/>
        <v>0</v>
      </c>
      <c r="Q190" s="49">
        <f t="shared" si="1011"/>
        <v>0</v>
      </c>
      <c r="R190" s="49">
        <f t="shared" ref="R190:T190" si="1012">IF(BK190=0,SUM(AA190+AD190+AG190+AJ190+AM190+AP190+AS190+AV190+AY190+BB190+BE190+BH190),BK190)</f>
        <v>0</v>
      </c>
      <c r="S190" s="49">
        <f t="shared" si="1012"/>
        <v>0</v>
      </c>
      <c r="T190" s="49">
        <f t="shared" si="1012"/>
        <v>0</v>
      </c>
      <c r="U190" s="48">
        <f t="shared" si="993"/>
        <v>0</v>
      </c>
      <c r="V190" s="48">
        <f>L190-P190-M190</f>
        <v>0</v>
      </c>
      <c r="W190" s="48">
        <f t="shared" si="995"/>
        <v>0</v>
      </c>
      <c r="X190" s="50">
        <f t="shared" ref="X190:Y190" si="1013">IF(O190&gt;0,O190/K190,0)</f>
        <v>0</v>
      </c>
      <c r="Y190" s="50">
        <f t="shared" si="1013"/>
        <v>0</v>
      </c>
      <c r="Z190" s="50">
        <f t="shared" ref="Z190:Z269" si="1014">IF(Q190&gt;0,Q190/N190,0)</f>
        <v>0</v>
      </c>
      <c r="AA190" s="256">
        <f>AA191</f>
        <v>0</v>
      </c>
      <c r="AB190" s="256">
        <f t="shared" ref="AB190:BJ190" si="1015">AB191</f>
        <v>0</v>
      </c>
      <c r="AC190" s="256">
        <f t="shared" si="1015"/>
        <v>0</v>
      </c>
      <c r="AD190" s="256">
        <f t="shared" si="1015"/>
        <v>0</v>
      </c>
      <c r="AE190" s="256">
        <f t="shared" si="1015"/>
        <v>0</v>
      </c>
      <c r="AF190" s="256">
        <f t="shared" si="1015"/>
        <v>0</v>
      </c>
      <c r="AG190" s="256">
        <f t="shared" si="1015"/>
        <v>0</v>
      </c>
      <c r="AH190" s="256">
        <f t="shared" si="1015"/>
        <v>0</v>
      </c>
      <c r="AI190" s="256">
        <f t="shared" si="1015"/>
        <v>0</v>
      </c>
      <c r="AJ190" s="256">
        <f t="shared" si="1015"/>
        <v>0</v>
      </c>
      <c r="AK190" s="256">
        <f t="shared" si="1015"/>
        <v>0</v>
      </c>
      <c r="AL190" s="256">
        <f t="shared" si="1015"/>
        <v>0</v>
      </c>
      <c r="AM190" s="256">
        <f t="shared" si="1015"/>
        <v>0</v>
      </c>
      <c r="AN190" s="256">
        <f t="shared" si="1015"/>
        <v>0</v>
      </c>
      <c r="AO190" s="256">
        <f t="shared" si="1015"/>
        <v>0</v>
      </c>
      <c r="AP190" s="256">
        <f t="shared" si="1015"/>
        <v>0</v>
      </c>
      <c r="AQ190" s="256">
        <f t="shared" si="1015"/>
        <v>0</v>
      </c>
      <c r="AR190" s="256">
        <f t="shared" si="1015"/>
        <v>0</v>
      </c>
      <c r="AS190" s="256">
        <f t="shared" si="1015"/>
        <v>0</v>
      </c>
      <c r="AT190" s="256">
        <f t="shared" si="1015"/>
        <v>0</v>
      </c>
      <c r="AU190" s="256">
        <f t="shared" si="1015"/>
        <v>0</v>
      </c>
      <c r="AV190" s="256">
        <f t="shared" si="1015"/>
        <v>0</v>
      </c>
      <c r="AW190" s="256">
        <f t="shared" si="1015"/>
        <v>0</v>
      </c>
      <c r="AX190" s="256">
        <f t="shared" si="1015"/>
        <v>0</v>
      </c>
      <c r="AY190" s="256">
        <f t="shared" si="1015"/>
        <v>0</v>
      </c>
      <c r="AZ190" s="256">
        <f t="shared" si="1015"/>
        <v>0</v>
      </c>
      <c r="BA190" s="256">
        <f t="shared" si="1015"/>
        <v>0</v>
      </c>
      <c r="BB190" s="256">
        <f t="shared" si="1015"/>
        <v>0</v>
      </c>
      <c r="BC190" s="256">
        <f t="shared" si="1015"/>
        <v>0</v>
      </c>
      <c r="BD190" s="256">
        <f t="shared" si="1015"/>
        <v>0</v>
      </c>
      <c r="BE190" s="256">
        <f t="shared" si="1015"/>
        <v>0</v>
      </c>
      <c r="BF190" s="256">
        <f t="shared" si="1015"/>
        <v>0</v>
      </c>
      <c r="BG190" s="256">
        <f t="shared" si="1015"/>
        <v>0</v>
      </c>
      <c r="BH190" s="256">
        <f t="shared" si="1015"/>
        <v>0</v>
      </c>
      <c r="BI190" s="256">
        <f t="shared" si="1015"/>
        <v>0</v>
      </c>
      <c r="BJ190" s="256">
        <f t="shared" si="1015"/>
        <v>0</v>
      </c>
      <c r="BK190" s="256">
        <f t="shared" ref="BK190" si="1016">BK191</f>
        <v>0</v>
      </c>
      <c r="BL190" s="256">
        <f t="shared" ref="BL190" si="1017">BL191</f>
        <v>0</v>
      </c>
      <c r="BM190" s="256">
        <f t="shared" ref="BM190" si="1018">BM191</f>
        <v>0</v>
      </c>
      <c r="BN190" s="256">
        <f t="shared" ref="BN190" si="1019">BN191</f>
        <v>0</v>
      </c>
      <c r="BO190" s="256">
        <f t="shared" ref="BO190" si="1020">BO191</f>
        <v>0</v>
      </c>
      <c r="BP190" s="256">
        <f t="shared" ref="BP190" si="1021">BP191</f>
        <v>0</v>
      </c>
      <c r="BQ190" s="256">
        <f t="shared" ref="BQ190" si="1022">BQ191</f>
        <v>0</v>
      </c>
      <c r="BR190" s="256">
        <f t="shared" ref="BR190" si="1023">BR191</f>
        <v>0</v>
      </c>
      <c r="BS190" s="256">
        <f t="shared" ref="BS190" si="1024">BS191</f>
        <v>0</v>
      </c>
      <c r="BT190" s="256">
        <f t="shared" ref="BT190" si="1025">BT191</f>
        <v>0</v>
      </c>
      <c r="BU190" s="256">
        <f t="shared" ref="BU190" si="1026">BU191</f>
        <v>0</v>
      </c>
      <c r="BV190" s="256">
        <f t="shared" ref="BV190" si="1027">BV191</f>
        <v>0</v>
      </c>
      <c r="BW190" s="256">
        <f t="shared" ref="BW190" si="1028">BW191</f>
        <v>0</v>
      </c>
      <c r="BX190" s="6"/>
      <c r="BY190" s="6"/>
      <c r="BZ190" s="6"/>
      <c r="CA190" s="6"/>
      <c r="CB190" s="6"/>
      <c r="CC190" s="6"/>
      <c r="CD190" s="6"/>
      <c r="CE190" s="6"/>
      <c r="CF190" s="6"/>
      <c r="CG190" s="6"/>
    </row>
    <row r="191" spans="1:85" ht="15.75" customHeight="1">
      <c r="A191" s="81"/>
      <c r="B191" s="253"/>
      <c r="C191" s="81" t="s">
        <v>90</v>
      </c>
      <c r="D191" s="254" t="s">
        <v>91</v>
      </c>
      <c r="E191" s="57">
        <v>0</v>
      </c>
      <c r="F191" s="57">
        <v>0</v>
      </c>
      <c r="G191" s="58">
        <f>E191-F191</f>
        <v>0</v>
      </c>
      <c r="H191" s="57">
        <v>0</v>
      </c>
      <c r="I191" s="59">
        <f t="shared" si="732"/>
        <v>0</v>
      </c>
      <c r="J191" s="59">
        <f t="shared" si="733"/>
        <v>0</v>
      </c>
      <c r="K191" s="74">
        <v>0</v>
      </c>
      <c r="L191" s="74">
        <v>0</v>
      </c>
      <c r="M191" s="74">
        <v>0</v>
      </c>
      <c r="N191" s="74">
        <v>0</v>
      </c>
      <c r="O191" s="61">
        <f t="shared" ref="O191:Q191" si="1029">AA191+AD191+AG191+AJ191+AM191+AP191+AS191+AV191+AY191+BB191+BE191+BH191</f>
        <v>0</v>
      </c>
      <c r="P191" s="61">
        <f t="shared" si="1029"/>
        <v>0</v>
      </c>
      <c r="Q191" s="61">
        <f t="shared" si="1029"/>
        <v>0</v>
      </c>
      <c r="R191" s="61">
        <f t="shared" ref="R191:T191" si="1030">IF(BK191=0,SUM(AA191+AD191+AG191+AJ191+AM191+AP191+AS191+AV191+AY191+BB191+BE191+BH191),BK191)</f>
        <v>0</v>
      </c>
      <c r="S191" s="61">
        <f t="shared" si="1030"/>
        <v>0</v>
      </c>
      <c r="T191" s="61">
        <f t="shared" si="1030"/>
        <v>0</v>
      </c>
      <c r="U191" s="63">
        <f t="shared" si="993"/>
        <v>0</v>
      </c>
      <c r="V191" s="63">
        <f>L191-M191-S191</f>
        <v>0</v>
      </c>
      <c r="W191" s="63">
        <f t="shared" si="995"/>
        <v>0</v>
      </c>
      <c r="X191" s="64">
        <f t="shared" ref="X191:Y191" si="1031">IF(O191&gt;0,O191/K191,0)</f>
        <v>0</v>
      </c>
      <c r="Y191" s="64">
        <f t="shared" si="1031"/>
        <v>0</v>
      </c>
      <c r="Z191" s="64">
        <f t="shared" si="1014"/>
        <v>0</v>
      </c>
      <c r="AA191" s="67"/>
      <c r="AB191" s="376"/>
      <c r="AC191" s="376"/>
      <c r="AD191" s="376"/>
      <c r="AE191" s="376"/>
      <c r="AF191" s="376"/>
      <c r="AG191" s="376"/>
      <c r="AH191" s="376"/>
      <c r="AI191" s="376"/>
      <c r="AJ191" s="376"/>
      <c r="AK191" s="376"/>
      <c r="AL191" s="376"/>
      <c r="AM191" s="376"/>
      <c r="AN191" s="376"/>
      <c r="AO191" s="376"/>
      <c r="AP191" s="376"/>
      <c r="AQ191" s="376"/>
      <c r="AR191" s="376"/>
      <c r="AS191" s="376"/>
      <c r="AT191" s="376"/>
      <c r="AU191" s="376"/>
      <c r="AV191" s="376"/>
      <c r="AW191" s="376"/>
      <c r="AX191" s="376"/>
      <c r="AY191" s="376"/>
      <c r="AZ191" s="376"/>
      <c r="BA191" s="376"/>
      <c r="BB191" s="376"/>
      <c r="BC191" s="376"/>
      <c r="BD191" s="376"/>
      <c r="BE191" s="376"/>
      <c r="BF191" s="376"/>
      <c r="BG191" s="376"/>
      <c r="BH191" s="376"/>
      <c r="BI191" s="376"/>
      <c r="BJ191" s="376"/>
      <c r="BK191" s="244">
        <v>0</v>
      </c>
      <c r="BL191" s="244">
        <v>0</v>
      </c>
      <c r="BM191" s="244">
        <v>0</v>
      </c>
      <c r="BN191" s="65">
        <f>IF(O191-BK191&gt;0,O191-BK191,0)</f>
        <v>0</v>
      </c>
      <c r="BO191" s="67">
        <f>IF(Q191-BM191&gt;0,Q191-BM191,0)</f>
        <v>0</v>
      </c>
      <c r="BP191" s="65">
        <f>IF(BN191+BO191&gt;0,BN191+BO191,0)</f>
        <v>0</v>
      </c>
      <c r="BQ191" s="65">
        <f>IF(U191=0,0,U191)</f>
        <v>0</v>
      </c>
      <c r="BR191" s="65">
        <f>IF(W191=0,0,W191)</f>
        <v>0</v>
      </c>
      <c r="BS191" s="65">
        <f>IF(BQ191+BR191&gt;0,BQ191+BR191,0)</f>
        <v>0</v>
      </c>
      <c r="BT191" s="65">
        <f>IF(V191&gt;0,V191,0)</f>
        <v>0</v>
      </c>
      <c r="BU191" s="65">
        <f>IF(BP191=0,0,BP191)</f>
        <v>0</v>
      </c>
      <c r="BV191" s="65">
        <f>IF(BS191=0,0,BS191)</f>
        <v>0</v>
      </c>
      <c r="BW191" s="65">
        <f>IF(BP191+BT191+BV191&gt;0,BP191+BT191+BV191,0)</f>
        <v>0</v>
      </c>
      <c r="BX191" s="6"/>
      <c r="BY191" s="6"/>
      <c r="BZ191" s="6"/>
      <c r="CA191" s="6"/>
      <c r="CB191" s="6"/>
      <c r="CC191" s="6"/>
      <c r="CD191" s="6"/>
      <c r="CE191" s="6"/>
      <c r="CF191" s="6"/>
      <c r="CG191" s="6"/>
    </row>
    <row r="192" spans="1:85" ht="15.75" customHeight="1">
      <c r="A192" s="260"/>
      <c r="B192" s="261"/>
      <c r="C192" s="262"/>
      <c r="D192" s="78" t="s">
        <v>339</v>
      </c>
      <c r="E192" s="45">
        <f t="shared" ref="E192:H192" si="1032">E193</f>
        <v>12403.949999999997</v>
      </c>
      <c r="F192" s="46">
        <f t="shared" si="1032"/>
        <v>0</v>
      </c>
      <c r="G192" s="46">
        <f t="shared" si="1032"/>
        <v>12403.949999999997</v>
      </c>
      <c r="H192" s="46">
        <f t="shared" si="1032"/>
        <v>0</v>
      </c>
      <c r="I192" s="47">
        <f t="shared" si="732"/>
        <v>0</v>
      </c>
      <c r="J192" s="47">
        <f t="shared" si="733"/>
        <v>0</v>
      </c>
      <c r="K192" s="46">
        <f t="shared" ref="K192:N192" si="1033">K193</f>
        <v>0</v>
      </c>
      <c r="L192" s="46">
        <f t="shared" si="1033"/>
        <v>0</v>
      </c>
      <c r="M192" s="46">
        <f t="shared" si="1033"/>
        <v>0</v>
      </c>
      <c r="N192" s="46">
        <f t="shared" si="1033"/>
        <v>0</v>
      </c>
      <c r="O192" s="49">
        <f t="shared" ref="O192:Q192" si="1034">AA192+AD192+AG192+AJ192+AM192+AP192+AS192+AV192+AY192+BB192+BE192+BH192</f>
        <v>0</v>
      </c>
      <c r="P192" s="49">
        <f t="shared" si="1034"/>
        <v>0</v>
      </c>
      <c r="Q192" s="49">
        <f t="shared" si="1034"/>
        <v>0</v>
      </c>
      <c r="R192" s="49">
        <f t="shared" ref="R192:T192" si="1035">IF(BK192=0,SUM(AA192+AD192+AG192+AJ192+AM192+AP192+AS192+AV192+AY192+BB192+BE192+BH192),BK192)</f>
        <v>0</v>
      </c>
      <c r="S192" s="49">
        <f t="shared" si="1035"/>
        <v>0</v>
      </c>
      <c r="T192" s="49">
        <f t="shared" si="1035"/>
        <v>0</v>
      </c>
      <c r="U192" s="48">
        <f t="shared" si="993"/>
        <v>0</v>
      </c>
      <c r="V192" s="48">
        <f>L192-P192-M192</f>
        <v>0</v>
      </c>
      <c r="W192" s="48">
        <f t="shared" si="995"/>
        <v>0</v>
      </c>
      <c r="X192" s="50">
        <f t="shared" ref="X192:Y192" si="1036">IF(O192&gt;0,O192/K192,0)</f>
        <v>0</v>
      </c>
      <c r="Y192" s="50">
        <f t="shared" si="1036"/>
        <v>0</v>
      </c>
      <c r="Z192" s="50">
        <f t="shared" si="1014"/>
        <v>0</v>
      </c>
      <c r="AA192" s="256">
        <f>AA193</f>
        <v>0</v>
      </c>
      <c r="AB192" s="256">
        <f t="shared" ref="AB192:BJ192" si="1037">AB193</f>
        <v>0</v>
      </c>
      <c r="AC192" s="256">
        <f t="shared" si="1037"/>
        <v>0</v>
      </c>
      <c r="AD192" s="256">
        <f t="shared" si="1037"/>
        <v>0</v>
      </c>
      <c r="AE192" s="256">
        <f t="shared" si="1037"/>
        <v>0</v>
      </c>
      <c r="AF192" s="256">
        <f t="shared" si="1037"/>
        <v>0</v>
      </c>
      <c r="AG192" s="256">
        <f t="shared" si="1037"/>
        <v>0</v>
      </c>
      <c r="AH192" s="256">
        <f t="shared" si="1037"/>
        <v>0</v>
      </c>
      <c r="AI192" s="256">
        <f t="shared" si="1037"/>
        <v>0</v>
      </c>
      <c r="AJ192" s="256">
        <f t="shared" si="1037"/>
        <v>0</v>
      </c>
      <c r="AK192" s="256">
        <f t="shared" si="1037"/>
        <v>0</v>
      </c>
      <c r="AL192" s="256">
        <f t="shared" si="1037"/>
        <v>0</v>
      </c>
      <c r="AM192" s="256">
        <f t="shared" si="1037"/>
        <v>0</v>
      </c>
      <c r="AN192" s="256">
        <f t="shared" si="1037"/>
        <v>0</v>
      </c>
      <c r="AO192" s="256">
        <f t="shared" si="1037"/>
        <v>0</v>
      </c>
      <c r="AP192" s="256">
        <f t="shared" si="1037"/>
        <v>0</v>
      </c>
      <c r="AQ192" s="256">
        <f t="shared" si="1037"/>
        <v>0</v>
      </c>
      <c r="AR192" s="256">
        <f t="shared" si="1037"/>
        <v>0</v>
      </c>
      <c r="AS192" s="256">
        <f t="shared" si="1037"/>
        <v>0</v>
      </c>
      <c r="AT192" s="256">
        <f t="shared" si="1037"/>
        <v>0</v>
      </c>
      <c r="AU192" s="256">
        <f t="shared" si="1037"/>
        <v>0</v>
      </c>
      <c r="AV192" s="256">
        <f t="shared" si="1037"/>
        <v>0</v>
      </c>
      <c r="AW192" s="256">
        <f t="shared" si="1037"/>
        <v>0</v>
      </c>
      <c r="AX192" s="256">
        <f t="shared" si="1037"/>
        <v>0</v>
      </c>
      <c r="AY192" s="256">
        <f t="shared" si="1037"/>
        <v>0</v>
      </c>
      <c r="AZ192" s="256">
        <f t="shared" si="1037"/>
        <v>0</v>
      </c>
      <c r="BA192" s="256">
        <f t="shared" si="1037"/>
        <v>0</v>
      </c>
      <c r="BB192" s="256">
        <f t="shared" si="1037"/>
        <v>0</v>
      </c>
      <c r="BC192" s="256">
        <f t="shared" si="1037"/>
        <v>0</v>
      </c>
      <c r="BD192" s="256">
        <f t="shared" si="1037"/>
        <v>0</v>
      </c>
      <c r="BE192" s="256">
        <f t="shared" si="1037"/>
        <v>0</v>
      </c>
      <c r="BF192" s="256">
        <f t="shared" si="1037"/>
        <v>0</v>
      </c>
      <c r="BG192" s="256">
        <f t="shared" si="1037"/>
        <v>0</v>
      </c>
      <c r="BH192" s="256">
        <f t="shared" si="1037"/>
        <v>0</v>
      </c>
      <c r="BI192" s="256">
        <f t="shared" si="1037"/>
        <v>0</v>
      </c>
      <c r="BJ192" s="256">
        <f t="shared" si="1037"/>
        <v>0</v>
      </c>
      <c r="BK192" s="256">
        <f t="shared" ref="BK192" si="1038">BK193</f>
        <v>0</v>
      </c>
      <c r="BL192" s="256">
        <f t="shared" ref="BL192" si="1039">BL193</f>
        <v>0</v>
      </c>
      <c r="BM192" s="256">
        <f t="shared" ref="BM192" si="1040">BM193</f>
        <v>0</v>
      </c>
      <c r="BN192" s="256">
        <f t="shared" ref="BN192" si="1041">BN193</f>
        <v>0</v>
      </c>
      <c r="BO192" s="256">
        <f t="shared" ref="BO192" si="1042">BO193</f>
        <v>0</v>
      </c>
      <c r="BP192" s="256">
        <f t="shared" ref="BP192" si="1043">BP193</f>
        <v>0</v>
      </c>
      <c r="BQ192" s="256">
        <f t="shared" ref="BQ192" si="1044">BQ193</f>
        <v>0</v>
      </c>
      <c r="BR192" s="256">
        <f t="shared" ref="BR192" si="1045">BR193</f>
        <v>0</v>
      </c>
      <c r="BS192" s="256">
        <f t="shared" ref="BS192" si="1046">BS193</f>
        <v>0</v>
      </c>
      <c r="BT192" s="256">
        <f t="shared" ref="BT192" si="1047">BT193</f>
        <v>0</v>
      </c>
      <c r="BU192" s="256">
        <f t="shared" ref="BU192" si="1048">BU193</f>
        <v>0</v>
      </c>
      <c r="BV192" s="256">
        <f t="shared" ref="BV192" si="1049">BV193</f>
        <v>0</v>
      </c>
      <c r="BW192" s="256">
        <f t="shared" ref="BW192" si="1050">BW193</f>
        <v>0</v>
      </c>
      <c r="BX192" s="6"/>
      <c r="BY192" s="6"/>
      <c r="BZ192" s="6"/>
      <c r="CA192" s="6"/>
      <c r="CB192" s="6"/>
      <c r="CC192" s="6"/>
      <c r="CD192" s="6"/>
      <c r="CE192" s="6"/>
      <c r="CF192" s="6"/>
      <c r="CG192" s="6"/>
    </row>
    <row r="193" spans="1:85" ht="15.75" customHeight="1">
      <c r="A193" s="81"/>
      <c r="B193" s="253"/>
      <c r="C193" s="81" t="s">
        <v>340</v>
      </c>
      <c r="D193" s="263" t="s">
        <v>341</v>
      </c>
      <c r="E193" s="56">
        <f>31132.26-1324.36-19403.95+2000</f>
        <v>12403.949999999997</v>
      </c>
      <c r="F193" s="57">
        <v>0</v>
      </c>
      <c r="G193" s="58">
        <f>E193-F193</f>
        <v>12403.949999999997</v>
      </c>
      <c r="H193" s="57">
        <v>0</v>
      </c>
      <c r="I193" s="59">
        <f t="shared" si="732"/>
        <v>0</v>
      </c>
      <c r="J193" s="59">
        <f t="shared" si="733"/>
        <v>0</v>
      </c>
      <c r="K193" s="74">
        <v>0</v>
      </c>
      <c r="L193" s="74">
        <v>0</v>
      </c>
      <c r="M193" s="74">
        <v>0</v>
      </c>
      <c r="N193" s="74">
        <v>0</v>
      </c>
      <c r="O193" s="61">
        <f t="shared" ref="O193:Q193" si="1051">AA193+AD193+AG193+AJ193+AM193+AP193+AS193+AV193+AY193+BB193+BE193+BH193</f>
        <v>0</v>
      </c>
      <c r="P193" s="61">
        <f t="shared" si="1051"/>
        <v>0</v>
      </c>
      <c r="Q193" s="61">
        <f t="shared" si="1051"/>
        <v>0</v>
      </c>
      <c r="R193" s="61">
        <f t="shared" ref="R193:T193" si="1052">IF(BK193=0,SUM(AA193+AD193+AG193+AJ193+AM193+AP193+AS193+AV193+AY193+BB193+BE193+BH193),BK193)</f>
        <v>0</v>
      </c>
      <c r="S193" s="61">
        <f t="shared" si="1052"/>
        <v>0</v>
      </c>
      <c r="T193" s="61">
        <f t="shared" si="1052"/>
        <v>0</v>
      </c>
      <c r="U193" s="63">
        <f t="shared" si="993"/>
        <v>0</v>
      </c>
      <c r="V193" s="63">
        <f>L193-M193-S193</f>
        <v>0</v>
      </c>
      <c r="W193" s="63">
        <f t="shared" si="995"/>
        <v>0</v>
      </c>
      <c r="X193" s="64">
        <f t="shared" ref="X193:Y193" si="1053">IF(O193&gt;0,O193/K193,0)</f>
        <v>0</v>
      </c>
      <c r="Y193" s="64">
        <f t="shared" si="1053"/>
        <v>0</v>
      </c>
      <c r="Z193" s="64">
        <f t="shared" si="1014"/>
        <v>0</v>
      </c>
      <c r="AA193" s="67"/>
      <c r="AB193" s="376"/>
      <c r="AC193" s="376"/>
      <c r="AD193" s="376"/>
      <c r="AE193" s="376"/>
      <c r="AF193" s="376"/>
      <c r="AG193" s="376"/>
      <c r="AH193" s="376"/>
      <c r="AI193" s="376"/>
      <c r="AJ193" s="376"/>
      <c r="AK193" s="376"/>
      <c r="AL193" s="376"/>
      <c r="AM193" s="376"/>
      <c r="AN193" s="376"/>
      <c r="AO193" s="376"/>
      <c r="AP193" s="376"/>
      <c r="AQ193" s="376"/>
      <c r="AR193" s="376"/>
      <c r="AS193" s="376"/>
      <c r="AT193" s="376"/>
      <c r="AU193" s="376"/>
      <c r="AV193" s="376"/>
      <c r="AW193" s="376"/>
      <c r="AX193" s="376"/>
      <c r="AY193" s="376"/>
      <c r="AZ193" s="376"/>
      <c r="BA193" s="376"/>
      <c r="BB193" s="376"/>
      <c r="BC193" s="376"/>
      <c r="BD193" s="376"/>
      <c r="BE193" s="376"/>
      <c r="BF193" s="376"/>
      <c r="BG193" s="376"/>
      <c r="BH193" s="376"/>
      <c r="BI193" s="376"/>
      <c r="BJ193" s="376"/>
      <c r="BK193" s="244">
        <v>0</v>
      </c>
      <c r="BL193" s="244">
        <v>0</v>
      </c>
      <c r="BM193" s="244">
        <v>0</v>
      </c>
      <c r="BN193" s="65">
        <f>IF(O193-BK193&gt;0,O193-BK193,0)</f>
        <v>0</v>
      </c>
      <c r="BO193" s="67">
        <f>IF(Q193-BM193&gt;0,Q193-BM193,0)</f>
        <v>0</v>
      </c>
      <c r="BP193" s="65">
        <f>IF(BN193+BO193&gt;0,BN193+BO193,0)</f>
        <v>0</v>
      </c>
      <c r="BQ193" s="65">
        <f>IF(U193=0,0,U193)</f>
        <v>0</v>
      </c>
      <c r="BR193" s="65">
        <f>IF(W193=0,0,W193)</f>
        <v>0</v>
      </c>
      <c r="BS193" s="65">
        <f>IF(BQ193+BR193&gt;0,BQ193+BR193,0)</f>
        <v>0</v>
      </c>
      <c r="BT193" s="65">
        <f>IF(V193&gt;0,V193,0)</f>
        <v>0</v>
      </c>
      <c r="BU193" s="65">
        <f>IF(BP193=0,0,BP193)</f>
        <v>0</v>
      </c>
      <c r="BV193" s="65">
        <f>IF(BS193=0,0,BS193)</f>
        <v>0</v>
      </c>
      <c r="BW193" s="65">
        <f>IF(BP193+BT193+BV193&gt;0,BP193+BT193+BV193,0)</f>
        <v>0</v>
      </c>
      <c r="BX193" s="6"/>
      <c r="BY193" s="6"/>
      <c r="BZ193" s="6"/>
      <c r="CA193" s="6"/>
      <c r="CB193" s="6"/>
      <c r="CC193" s="6"/>
      <c r="CD193" s="6"/>
      <c r="CE193" s="6"/>
      <c r="CF193" s="6"/>
      <c r="CG193" s="6"/>
    </row>
    <row r="194" spans="1:85" ht="15.75" customHeight="1">
      <c r="A194" s="260"/>
      <c r="B194" s="261"/>
      <c r="C194" s="262"/>
      <c r="D194" s="78" t="s">
        <v>247</v>
      </c>
      <c r="E194" s="45">
        <f t="shared" ref="E194:H194" si="1054">E195</f>
        <v>4000</v>
      </c>
      <c r="F194" s="46">
        <f t="shared" si="1054"/>
        <v>0</v>
      </c>
      <c r="G194" s="46">
        <f t="shared" si="1054"/>
        <v>4000</v>
      </c>
      <c r="H194" s="46">
        <f t="shared" si="1054"/>
        <v>0</v>
      </c>
      <c r="I194" s="47">
        <f t="shared" si="732"/>
        <v>0</v>
      </c>
      <c r="J194" s="47">
        <f t="shared" si="733"/>
        <v>0</v>
      </c>
      <c r="K194" s="46">
        <f t="shared" ref="K194:N194" si="1055">K195</f>
        <v>0</v>
      </c>
      <c r="L194" s="46">
        <f t="shared" si="1055"/>
        <v>0</v>
      </c>
      <c r="M194" s="46">
        <f t="shared" si="1055"/>
        <v>0</v>
      </c>
      <c r="N194" s="46">
        <f t="shared" si="1055"/>
        <v>0</v>
      </c>
      <c r="O194" s="49">
        <f t="shared" ref="O194:Q194" si="1056">AA194+AD194+AG194+AJ194+AM194+AP194+AS194+AV194+AY194+BB194+BE194+BH194</f>
        <v>0</v>
      </c>
      <c r="P194" s="49">
        <f t="shared" si="1056"/>
        <v>0</v>
      </c>
      <c r="Q194" s="49">
        <f t="shared" si="1056"/>
        <v>0</v>
      </c>
      <c r="R194" s="49">
        <f t="shared" ref="R194:T194" si="1057">IF(BK194=0,SUM(AA194+AD194+AG194+AJ194+AM194+AP194+AS194+AV194+AY194+BB194+BE194+BH194),BK194)</f>
        <v>0</v>
      </c>
      <c r="S194" s="49">
        <f t="shared" si="1057"/>
        <v>0</v>
      </c>
      <c r="T194" s="49">
        <f t="shared" si="1057"/>
        <v>0</v>
      </c>
      <c r="U194" s="48">
        <f t="shared" si="993"/>
        <v>0</v>
      </c>
      <c r="V194" s="48">
        <f>L194-P194-M194</f>
        <v>0</v>
      </c>
      <c r="W194" s="48">
        <f t="shared" si="995"/>
        <v>0</v>
      </c>
      <c r="X194" s="50">
        <f t="shared" ref="X194:Y194" si="1058">IF(O194&gt;0,O194/K194,0)</f>
        <v>0</v>
      </c>
      <c r="Y194" s="50">
        <f t="shared" si="1058"/>
        <v>0</v>
      </c>
      <c r="Z194" s="50">
        <f t="shared" si="1014"/>
        <v>0</v>
      </c>
      <c r="AA194" s="256">
        <f>AA195</f>
        <v>0</v>
      </c>
      <c r="AB194" s="256">
        <f t="shared" ref="AB194:BJ194" si="1059">AB195</f>
        <v>0</v>
      </c>
      <c r="AC194" s="256">
        <f t="shared" si="1059"/>
        <v>0</v>
      </c>
      <c r="AD194" s="256">
        <f t="shared" si="1059"/>
        <v>0</v>
      </c>
      <c r="AE194" s="256">
        <f t="shared" si="1059"/>
        <v>0</v>
      </c>
      <c r="AF194" s="256">
        <f t="shared" si="1059"/>
        <v>0</v>
      </c>
      <c r="AG194" s="256">
        <f t="shared" si="1059"/>
        <v>0</v>
      </c>
      <c r="AH194" s="256">
        <f t="shared" si="1059"/>
        <v>0</v>
      </c>
      <c r="AI194" s="256">
        <f t="shared" si="1059"/>
        <v>0</v>
      </c>
      <c r="AJ194" s="256">
        <f t="shared" si="1059"/>
        <v>0</v>
      </c>
      <c r="AK194" s="256">
        <f t="shared" si="1059"/>
        <v>0</v>
      </c>
      <c r="AL194" s="256">
        <f t="shared" si="1059"/>
        <v>0</v>
      </c>
      <c r="AM194" s="256">
        <f t="shared" si="1059"/>
        <v>0</v>
      </c>
      <c r="AN194" s="256">
        <f t="shared" si="1059"/>
        <v>0</v>
      </c>
      <c r="AO194" s="256">
        <f t="shared" si="1059"/>
        <v>0</v>
      </c>
      <c r="AP194" s="256">
        <f t="shared" si="1059"/>
        <v>0</v>
      </c>
      <c r="AQ194" s="256">
        <f t="shared" si="1059"/>
        <v>0</v>
      </c>
      <c r="AR194" s="256">
        <f t="shared" si="1059"/>
        <v>0</v>
      </c>
      <c r="AS194" s="256">
        <f t="shared" si="1059"/>
        <v>0</v>
      </c>
      <c r="AT194" s="256">
        <f t="shared" si="1059"/>
        <v>0</v>
      </c>
      <c r="AU194" s="256">
        <f t="shared" si="1059"/>
        <v>0</v>
      </c>
      <c r="AV194" s="256">
        <f t="shared" si="1059"/>
        <v>0</v>
      </c>
      <c r="AW194" s="256">
        <f t="shared" si="1059"/>
        <v>0</v>
      </c>
      <c r="AX194" s="256">
        <f t="shared" si="1059"/>
        <v>0</v>
      </c>
      <c r="AY194" s="256">
        <f t="shared" si="1059"/>
        <v>0</v>
      </c>
      <c r="AZ194" s="256">
        <f t="shared" si="1059"/>
        <v>0</v>
      </c>
      <c r="BA194" s="256">
        <f t="shared" si="1059"/>
        <v>0</v>
      </c>
      <c r="BB194" s="256">
        <f t="shared" si="1059"/>
        <v>0</v>
      </c>
      <c r="BC194" s="256">
        <f t="shared" si="1059"/>
        <v>0</v>
      </c>
      <c r="BD194" s="256">
        <f t="shared" si="1059"/>
        <v>0</v>
      </c>
      <c r="BE194" s="256">
        <f t="shared" si="1059"/>
        <v>0</v>
      </c>
      <c r="BF194" s="256">
        <f t="shared" si="1059"/>
        <v>0</v>
      </c>
      <c r="BG194" s="256">
        <f t="shared" si="1059"/>
        <v>0</v>
      </c>
      <c r="BH194" s="256">
        <f t="shared" si="1059"/>
        <v>0</v>
      </c>
      <c r="BI194" s="256">
        <f t="shared" si="1059"/>
        <v>0</v>
      </c>
      <c r="BJ194" s="256">
        <f t="shared" si="1059"/>
        <v>0</v>
      </c>
      <c r="BK194" s="256">
        <f t="shared" ref="BK194" si="1060">BK195</f>
        <v>0</v>
      </c>
      <c r="BL194" s="256">
        <f t="shared" ref="BL194" si="1061">BL195</f>
        <v>0</v>
      </c>
      <c r="BM194" s="256">
        <f t="shared" ref="BM194" si="1062">BM195</f>
        <v>0</v>
      </c>
      <c r="BN194" s="256">
        <f t="shared" ref="BN194" si="1063">BN195</f>
        <v>0</v>
      </c>
      <c r="BO194" s="256">
        <f t="shared" ref="BO194" si="1064">BO195</f>
        <v>0</v>
      </c>
      <c r="BP194" s="256">
        <f t="shared" ref="BP194" si="1065">BP195</f>
        <v>0</v>
      </c>
      <c r="BQ194" s="256">
        <f t="shared" ref="BQ194" si="1066">BQ195</f>
        <v>0</v>
      </c>
      <c r="BR194" s="256">
        <f t="shared" ref="BR194" si="1067">BR195</f>
        <v>0</v>
      </c>
      <c r="BS194" s="256">
        <f t="shared" ref="BS194" si="1068">BS195</f>
        <v>0</v>
      </c>
      <c r="BT194" s="256">
        <f t="shared" ref="BT194" si="1069">BT195</f>
        <v>0</v>
      </c>
      <c r="BU194" s="256">
        <f t="shared" ref="BU194" si="1070">BU195</f>
        <v>0</v>
      </c>
      <c r="BV194" s="256">
        <f t="shared" ref="BV194" si="1071">BV195</f>
        <v>0</v>
      </c>
      <c r="BW194" s="256">
        <f t="shared" ref="BW194" si="1072">BW195</f>
        <v>0</v>
      </c>
      <c r="BX194" s="6"/>
      <c r="BY194" s="6"/>
      <c r="BZ194" s="6"/>
      <c r="CA194" s="6"/>
      <c r="CB194" s="6"/>
      <c r="CC194" s="6"/>
      <c r="CD194" s="6"/>
      <c r="CE194" s="6"/>
      <c r="CF194" s="6"/>
      <c r="CG194" s="6"/>
    </row>
    <row r="195" spans="1:85" ht="15.75" customHeight="1">
      <c r="A195" s="81"/>
      <c r="B195" s="253"/>
      <c r="C195" s="81" t="s">
        <v>342</v>
      </c>
      <c r="D195" s="254" t="s">
        <v>343</v>
      </c>
      <c r="E195" s="56">
        <f>6000-2000</f>
        <v>4000</v>
      </c>
      <c r="F195" s="57">
        <v>0</v>
      </c>
      <c r="G195" s="58">
        <f>E195-F195</f>
        <v>4000</v>
      </c>
      <c r="H195" s="57">
        <v>0</v>
      </c>
      <c r="I195" s="59">
        <f t="shared" si="732"/>
        <v>0</v>
      </c>
      <c r="J195" s="59">
        <f t="shared" si="733"/>
        <v>0</v>
      </c>
      <c r="K195" s="74">
        <v>0</v>
      </c>
      <c r="L195" s="74">
        <v>0</v>
      </c>
      <c r="M195" s="74">
        <v>0</v>
      </c>
      <c r="N195" s="74">
        <v>0</v>
      </c>
      <c r="O195" s="61">
        <f t="shared" ref="O195:Q195" si="1073">AA195+AD195+AG195+AJ195+AM195+AP195+AS195+AV195+AY195+BB195+BE195+BH195</f>
        <v>0</v>
      </c>
      <c r="P195" s="61">
        <f t="shared" si="1073"/>
        <v>0</v>
      </c>
      <c r="Q195" s="61">
        <f t="shared" si="1073"/>
        <v>0</v>
      </c>
      <c r="R195" s="61">
        <f t="shared" ref="R195:T195" si="1074">IF(BK195=0,SUM(AA195+AD195+AG195+AJ195+AM195+AP195+AS195+AV195+AY195+BB195+BE195+BH195),BK195)</f>
        <v>0</v>
      </c>
      <c r="S195" s="61">
        <f t="shared" si="1074"/>
        <v>0</v>
      </c>
      <c r="T195" s="61">
        <f t="shared" si="1074"/>
        <v>0</v>
      </c>
      <c r="U195" s="63">
        <f t="shared" si="993"/>
        <v>0</v>
      </c>
      <c r="V195" s="63">
        <f>L195-M195-S195</f>
        <v>0</v>
      </c>
      <c r="W195" s="63">
        <f t="shared" si="995"/>
        <v>0</v>
      </c>
      <c r="X195" s="64">
        <f t="shared" ref="X195:Y195" si="1075">IF(O195&gt;0,O195/K195,0)</f>
        <v>0</v>
      </c>
      <c r="Y195" s="64">
        <f t="shared" si="1075"/>
        <v>0</v>
      </c>
      <c r="Z195" s="64">
        <f t="shared" si="1014"/>
        <v>0</v>
      </c>
      <c r="AA195" s="67"/>
      <c r="AB195" s="67"/>
      <c r="AC195" s="67"/>
      <c r="AD195" s="67"/>
      <c r="AE195" s="66"/>
      <c r="AF195" s="66"/>
      <c r="AG195" s="66"/>
      <c r="AH195" s="66"/>
      <c r="AI195" s="67"/>
      <c r="AJ195" s="67"/>
      <c r="AK195" s="67"/>
      <c r="AL195" s="67"/>
      <c r="AM195" s="67"/>
      <c r="AN195" s="67"/>
      <c r="AO195" s="67"/>
      <c r="AP195" s="67"/>
      <c r="AQ195" s="67"/>
      <c r="AR195" s="67"/>
      <c r="AS195" s="67"/>
      <c r="AT195" s="67"/>
      <c r="AU195" s="67"/>
      <c r="AV195" s="67"/>
      <c r="AW195" s="67"/>
      <c r="AX195" s="67"/>
      <c r="AY195" s="67"/>
      <c r="AZ195" s="67"/>
      <c r="BA195" s="67"/>
      <c r="BB195" s="67"/>
      <c r="BC195" s="67"/>
      <c r="BD195" s="67"/>
      <c r="BE195" s="67"/>
      <c r="BF195" s="67"/>
      <c r="BG195" s="67"/>
      <c r="BH195" s="67"/>
      <c r="BI195" s="67"/>
      <c r="BJ195" s="67"/>
      <c r="BK195" s="244">
        <v>0</v>
      </c>
      <c r="BL195" s="244">
        <v>0</v>
      </c>
      <c r="BM195" s="244">
        <v>0</v>
      </c>
      <c r="BN195" s="65">
        <f>IF(O195-BK195&gt;0,O195-BK195,0)</f>
        <v>0</v>
      </c>
      <c r="BO195" s="67">
        <f>IF(Q195-BM195&gt;0,Q195-BM195,0)</f>
        <v>0</v>
      </c>
      <c r="BP195" s="65">
        <f>IF(BN195+BO195&gt;0,BN195+BO195,0)</f>
        <v>0</v>
      </c>
      <c r="BQ195" s="65">
        <f>IF(U195=0,0,U195)</f>
        <v>0</v>
      </c>
      <c r="BR195" s="65">
        <f>IF(W195=0,0,W195)</f>
        <v>0</v>
      </c>
      <c r="BS195" s="65">
        <f>IF(BQ195+BR195&gt;0,BQ195+BR195,0)</f>
        <v>0</v>
      </c>
      <c r="BT195" s="65">
        <f>IF(V195&gt;0,V195,0)</f>
        <v>0</v>
      </c>
      <c r="BU195" s="65">
        <f>IF(BP195=0,0,BP195)</f>
        <v>0</v>
      </c>
      <c r="BV195" s="65">
        <f>IF(BS195=0,0,BS195)</f>
        <v>0</v>
      </c>
      <c r="BW195" s="65">
        <f>IF(BP195+BT195+BV195&gt;0,BP195+BT195+BV195,0)</f>
        <v>0</v>
      </c>
      <c r="BX195" s="6"/>
      <c r="BY195" s="6"/>
      <c r="BZ195" s="6"/>
      <c r="CA195" s="6"/>
      <c r="CB195" s="6"/>
      <c r="CC195" s="6"/>
      <c r="CD195" s="6"/>
      <c r="CE195" s="6"/>
      <c r="CF195" s="6"/>
      <c r="CG195" s="6"/>
    </row>
    <row r="196" spans="1:85" ht="15.75" customHeight="1">
      <c r="A196" s="248"/>
      <c r="B196" s="249"/>
      <c r="C196" s="250"/>
      <c r="D196" s="251" t="s">
        <v>344</v>
      </c>
      <c r="E196" s="38">
        <f t="shared" ref="E196:H196" si="1076">E197+E199+E201+E204</f>
        <v>46000</v>
      </c>
      <c r="F196" s="38">
        <f t="shared" si="1076"/>
        <v>0</v>
      </c>
      <c r="G196" s="38">
        <f t="shared" si="1076"/>
        <v>46000</v>
      </c>
      <c r="H196" s="38">
        <f t="shared" si="1076"/>
        <v>0</v>
      </c>
      <c r="I196" s="39">
        <f t="shared" si="732"/>
        <v>0</v>
      </c>
      <c r="J196" s="39">
        <f t="shared" si="733"/>
        <v>0</v>
      </c>
      <c r="K196" s="38">
        <f t="shared" ref="K196:W196" si="1077">K197+K199+K201+K204</f>
        <v>0</v>
      </c>
      <c r="L196" s="38">
        <f t="shared" si="1077"/>
        <v>1275</v>
      </c>
      <c r="M196" s="38">
        <f t="shared" si="1077"/>
        <v>0</v>
      </c>
      <c r="N196" s="38">
        <f t="shared" si="1077"/>
        <v>0</v>
      </c>
      <c r="O196" s="38">
        <f t="shared" si="1077"/>
        <v>0</v>
      </c>
      <c r="P196" s="38">
        <f t="shared" si="1077"/>
        <v>0</v>
      </c>
      <c r="Q196" s="38">
        <f t="shared" si="1077"/>
        <v>0</v>
      </c>
      <c r="R196" s="38">
        <f t="shared" si="1077"/>
        <v>0</v>
      </c>
      <c r="S196" s="38">
        <f t="shared" si="1077"/>
        <v>0</v>
      </c>
      <c r="T196" s="38">
        <f t="shared" si="1077"/>
        <v>0</v>
      </c>
      <c r="U196" s="38">
        <f t="shared" si="1077"/>
        <v>0</v>
      </c>
      <c r="V196" s="38">
        <f t="shared" si="1077"/>
        <v>1275</v>
      </c>
      <c r="W196" s="38">
        <f t="shared" si="1077"/>
        <v>0</v>
      </c>
      <c r="X196" s="40">
        <f t="shared" ref="X196:Y196" si="1078">IF(O196&gt;0,O196/K196,0)</f>
        <v>0</v>
      </c>
      <c r="Y196" s="40">
        <f t="shared" si="1078"/>
        <v>0</v>
      </c>
      <c r="Z196" s="40">
        <f t="shared" si="1014"/>
        <v>0</v>
      </c>
      <c r="AA196" s="38">
        <f t="shared" ref="AA196:BW196" si="1079">AA197+AA199+AA201+AA204</f>
        <v>0</v>
      </c>
      <c r="AB196" s="38">
        <f t="shared" si="1079"/>
        <v>0</v>
      </c>
      <c r="AC196" s="38">
        <f t="shared" si="1079"/>
        <v>0</v>
      </c>
      <c r="AD196" s="38">
        <f t="shared" si="1079"/>
        <v>0</v>
      </c>
      <c r="AE196" s="38">
        <f t="shared" si="1079"/>
        <v>0</v>
      </c>
      <c r="AF196" s="38">
        <f t="shared" si="1079"/>
        <v>0</v>
      </c>
      <c r="AG196" s="38">
        <f t="shared" si="1079"/>
        <v>0</v>
      </c>
      <c r="AH196" s="38">
        <f t="shared" si="1079"/>
        <v>0</v>
      </c>
      <c r="AI196" s="38">
        <f t="shared" si="1079"/>
        <v>0</v>
      </c>
      <c r="AJ196" s="38">
        <f t="shared" si="1079"/>
        <v>0</v>
      </c>
      <c r="AK196" s="38">
        <f t="shared" si="1079"/>
        <v>0</v>
      </c>
      <c r="AL196" s="38">
        <f t="shared" si="1079"/>
        <v>0</v>
      </c>
      <c r="AM196" s="38">
        <f t="shared" si="1079"/>
        <v>0</v>
      </c>
      <c r="AN196" s="38">
        <f t="shared" si="1079"/>
        <v>0</v>
      </c>
      <c r="AO196" s="38">
        <f t="shared" si="1079"/>
        <v>0</v>
      </c>
      <c r="AP196" s="38">
        <f t="shared" si="1079"/>
        <v>0</v>
      </c>
      <c r="AQ196" s="38">
        <f t="shared" si="1079"/>
        <v>0</v>
      </c>
      <c r="AR196" s="38">
        <f t="shared" si="1079"/>
        <v>0</v>
      </c>
      <c r="AS196" s="38">
        <f t="shared" si="1079"/>
        <v>0</v>
      </c>
      <c r="AT196" s="38">
        <f t="shared" si="1079"/>
        <v>0</v>
      </c>
      <c r="AU196" s="38">
        <f t="shared" si="1079"/>
        <v>0</v>
      </c>
      <c r="AV196" s="38">
        <f t="shared" si="1079"/>
        <v>0</v>
      </c>
      <c r="AW196" s="38">
        <f t="shared" si="1079"/>
        <v>0</v>
      </c>
      <c r="AX196" s="38">
        <f t="shared" si="1079"/>
        <v>0</v>
      </c>
      <c r="AY196" s="38">
        <f t="shared" si="1079"/>
        <v>0</v>
      </c>
      <c r="AZ196" s="38">
        <f t="shared" si="1079"/>
        <v>0</v>
      </c>
      <c r="BA196" s="38">
        <f t="shared" si="1079"/>
        <v>0</v>
      </c>
      <c r="BB196" s="38">
        <f t="shared" si="1079"/>
        <v>0</v>
      </c>
      <c r="BC196" s="38">
        <f t="shared" si="1079"/>
        <v>0</v>
      </c>
      <c r="BD196" s="38">
        <f t="shared" si="1079"/>
        <v>0</v>
      </c>
      <c r="BE196" s="38">
        <f t="shared" si="1079"/>
        <v>0</v>
      </c>
      <c r="BF196" s="38">
        <f t="shared" si="1079"/>
        <v>0</v>
      </c>
      <c r="BG196" s="38">
        <f t="shared" si="1079"/>
        <v>0</v>
      </c>
      <c r="BH196" s="38">
        <f t="shared" si="1079"/>
        <v>0</v>
      </c>
      <c r="BI196" s="38">
        <f t="shared" si="1079"/>
        <v>0</v>
      </c>
      <c r="BJ196" s="38">
        <f t="shared" si="1079"/>
        <v>0</v>
      </c>
      <c r="BK196" s="38">
        <f t="shared" si="1079"/>
        <v>0</v>
      </c>
      <c r="BL196" s="38">
        <f t="shared" si="1079"/>
        <v>0</v>
      </c>
      <c r="BM196" s="38">
        <f t="shared" si="1079"/>
        <v>0</v>
      </c>
      <c r="BN196" s="684">
        <f>BN197+BN199+BN201+BN204</f>
        <v>0</v>
      </c>
      <c r="BO196" s="38">
        <f t="shared" si="1079"/>
        <v>0</v>
      </c>
      <c r="BP196" s="38">
        <f t="shared" si="1079"/>
        <v>0</v>
      </c>
      <c r="BQ196" s="38">
        <f t="shared" si="1079"/>
        <v>0</v>
      </c>
      <c r="BR196" s="38">
        <f t="shared" si="1079"/>
        <v>0</v>
      </c>
      <c r="BS196" s="38">
        <f t="shared" si="1079"/>
        <v>0</v>
      </c>
      <c r="BT196" s="38">
        <f t="shared" si="1079"/>
        <v>1275</v>
      </c>
      <c r="BU196" s="38">
        <f t="shared" si="1079"/>
        <v>0</v>
      </c>
      <c r="BV196" s="38">
        <f t="shared" si="1079"/>
        <v>0</v>
      </c>
      <c r="BW196" s="38">
        <f t="shared" si="1079"/>
        <v>1275</v>
      </c>
      <c r="BX196" s="6"/>
      <c r="BY196" s="6"/>
      <c r="BZ196" s="6"/>
      <c r="CA196" s="6"/>
      <c r="CB196" s="6"/>
      <c r="CC196" s="6"/>
      <c r="CD196" s="6"/>
      <c r="CE196" s="6"/>
      <c r="CF196" s="6"/>
      <c r="CG196" s="6"/>
    </row>
    <row r="197" spans="1:85" ht="15.75">
      <c r="A197" s="260"/>
      <c r="B197" s="261"/>
      <c r="C197" s="262"/>
      <c r="D197" s="78" t="s">
        <v>67</v>
      </c>
      <c r="E197" s="45">
        <f t="shared" ref="E197:H197" si="1080">E198</f>
        <v>5000</v>
      </c>
      <c r="F197" s="46">
        <f t="shared" si="1080"/>
        <v>0</v>
      </c>
      <c r="G197" s="46">
        <f t="shared" si="1080"/>
        <v>5000</v>
      </c>
      <c r="H197" s="46">
        <f t="shared" si="1080"/>
        <v>0</v>
      </c>
      <c r="I197" s="47">
        <f t="shared" si="732"/>
        <v>0</v>
      </c>
      <c r="J197" s="47">
        <f t="shared" si="733"/>
        <v>0</v>
      </c>
      <c r="K197" s="46">
        <f t="shared" ref="K197:W197" si="1081">K198</f>
        <v>0</v>
      </c>
      <c r="L197" s="46">
        <f t="shared" si="1081"/>
        <v>0</v>
      </c>
      <c r="M197" s="46">
        <f t="shared" si="1081"/>
        <v>0</v>
      </c>
      <c r="N197" s="46">
        <f t="shared" si="1081"/>
        <v>0</v>
      </c>
      <c r="O197" s="46">
        <f t="shared" si="1081"/>
        <v>0</v>
      </c>
      <c r="P197" s="46">
        <f t="shared" si="1081"/>
        <v>0</v>
      </c>
      <c r="Q197" s="46">
        <f t="shared" si="1081"/>
        <v>0</v>
      </c>
      <c r="R197" s="46">
        <f t="shared" si="1081"/>
        <v>0</v>
      </c>
      <c r="S197" s="46">
        <f t="shared" si="1081"/>
        <v>0</v>
      </c>
      <c r="T197" s="46">
        <f t="shared" si="1081"/>
        <v>0</v>
      </c>
      <c r="U197" s="46">
        <f t="shared" si="1081"/>
        <v>0</v>
      </c>
      <c r="V197" s="46">
        <f t="shared" si="1081"/>
        <v>0</v>
      </c>
      <c r="W197" s="46">
        <f t="shared" si="1081"/>
        <v>0</v>
      </c>
      <c r="X197" s="50">
        <f t="shared" ref="X197:Y197" si="1082">IF(O197&gt;0,O197/K197,0)</f>
        <v>0</v>
      </c>
      <c r="Y197" s="50">
        <f t="shared" si="1082"/>
        <v>0</v>
      </c>
      <c r="Z197" s="50">
        <f t="shared" si="1014"/>
        <v>0</v>
      </c>
      <c r="AA197" s="46">
        <f t="shared" ref="AA197:BW197" si="1083">AA198</f>
        <v>0</v>
      </c>
      <c r="AB197" s="46">
        <f t="shared" si="1083"/>
        <v>0</v>
      </c>
      <c r="AC197" s="46">
        <f t="shared" si="1083"/>
        <v>0</v>
      </c>
      <c r="AD197" s="46">
        <f t="shared" si="1083"/>
        <v>0</v>
      </c>
      <c r="AE197" s="46">
        <f t="shared" si="1083"/>
        <v>0</v>
      </c>
      <c r="AF197" s="46">
        <f t="shared" si="1083"/>
        <v>0</v>
      </c>
      <c r="AG197" s="46">
        <f t="shared" si="1083"/>
        <v>0</v>
      </c>
      <c r="AH197" s="46">
        <f t="shared" si="1083"/>
        <v>0</v>
      </c>
      <c r="AI197" s="46">
        <f t="shared" si="1083"/>
        <v>0</v>
      </c>
      <c r="AJ197" s="46">
        <f t="shared" si="1083"/>
        <v>0</v>
      </c>
      <c r="AK197" s="46">
        <f t="shared" si="1083"/>
        <v>0</v>
      </c>
      <c r="AL197" s="46">
        <f t="shared" si="1083"/>
        <v>0</v>
      </c>
      <c r="AM197" s="46">
        <f t="shared" si="1083"/>
        <v>0</v>
      </c>
      <c r="AN197" s="46">
        <f t="shared" si="1083"/>
        <v>0</v>
      </c>
      <c r="AO197" s="46">
        <f t="shared" si="1083"/>
        <v>0</v>
      </c>
      <c r="AP197" s="46">
        <f t="shared" si="1083"/>
        <v>0</v>
      </c>
      <c r="AQ197" s="46">
        <f t="shared" si="1083"/>
        <v>0</v>
      </c>
      <c r="AR197" s="46">
        <f t="shared" si="1083"/>
        <v>0</v>
      </c>
      <c r="AS197" s="46">
        <f t="shared" si="1083"/>
        <v>0</v>
      </c>
      <c r="AT197" s="46">
        <f t="shared" si="1083"/>
        <v>0</v>
      </c>
      <c r="AU197" s="46">
        <f t="shared" si="1083"/>
        <v>0</v>
      </c>
      <c r="AV197" s="46">
        <f t="shared" si="1083"/>
        <v>0</v>
      </c>
      <c r="AW197" s="46">
        <f t="shared" si="1083"/>
        <v>0</v>
      </c>
      <c r="AX197" s="46">
        <f t="shared" si="1083"/>
        <v>0</v>
      </c>
      <c r="AY197" s="46">
        <f t="shared" si="1083"/>
        <v>0</v>
      </c>
      <c r="AZ197" s="46">
        <f t="shared" si="1083"/>
        <v>0</v>
      </c>
      <c r="BA197" s="46">
        <f t="shared" si="1083"/>
        <v>0</v>
      </c>
      <c r="BB197" s="46">
        <f t="shared" si="1083"/>
        <v>0</v>
      </c>
      <c r="BC197" s="46">
        <f t="shared" si="1083"/>
        <v>0</v>
      </c>
      <c r="BD197" s="46">
        <f t="shared" si="1083"/>
        <v>0</v>
      </c>
      <c r="BE197" s="46">
        <f t="shared" si="1083"/>
        <v>0</v>
      </c>
      <c r="BF197" s="46">
        <f t="shared" si="1083"/>
        <v>0</v>
      </c>
      <c r="BG197" s="46">
        <f t="shared" si="1083"/>
        <v>0</v>
      </c>
      <c r="BH197" s="46">
        <f t="shared" si="1083"/>
        <v>0</v>
      </c>
      <c r="BI197" s="46">
        <f t="shared" si="1083"/>
        <v>0</v>
      </c>
      <c r="BJ197" s="46">
        <f t="shared" si="1083"/>
        <v>0</v>
      </c>
      <c r="BK197" s="46">
        <f t="shared" si="1083"/>
        <v>0</v>
      </c>
      <c r="BL197" s="46">
        <f t="shared" si="1083"/>
        <v>0</v>
      </c>
      <c r="BM197" s="46">
        <f t="shared" si="1083"/>
        <v>0</v>
      </c>
      <c r="BN197" s="46">
        <f>BN198</f>
        <v>0</v>
      </c>
      <c r="BO197" s="46">
        <f t="shared" si="1083"/>
        <v>0</v>
      </c>
      <c r="BP197" s="46">
        <f t="shared" si="1083"/>
        <v>0</v>
      </c>
      <c r="BQ197" s="46">
        <f t="shared" si="1083"/>
        <v>0</v>
      </c>
      <c r="BR197" s="46">
        <f t="shared" si="1083"/>
        <v>0</v>
      </c>
      <c r="BS197" s="46">
        <f t="shared" si="1083"/>
        <v>0</v>
      </c>
      <c r="BT197" s="46">
        <f t="shared" si="1083"/>
        <v>0</v>
      </c>
      <c r="BU197" s="46">
        <f t="shared" si="1083"/>
        <v>0</v>
      </c>
      <c r="BV197" s="46">
        <f t="shared" si="1083"/>
        <v>0</v>
      </c>
      <c r="BW197" s="46">
        <f t="shared" si="1083"/>
        <v>0</v>
      </c>
      <c r="BX197" s="6"/>
      <c r="BY197" s="6"/>
      <c r="BZ197" s="6"/>
      <c r="CA197" s="6"/>
      <c r="CB197" s="6"/>
      <c r="CC197" s="6"/>
      <c r="CD197" s="6"/>
      <c r="CE197" s="6"/>
      <c r="CF197" s="6"/>
      <c r="CG197" s="6"/>
    </row>
    <row r="198" spans="1:85" ht="15.75" customHeight="1">
      <c r="A198" s="81"/>
      <c r="B198" s="264"/>
      <c r="C198" s="81" t="s">
        <v>69</v>
      </c>
      <c r="D198" s="254" t="s">
        <v>345</v>
      </c>
      <c r="E198" s="56">
        <v>5000</v>
      </c>
      <c r="F198" s="57">
        <v>0</v>
      </c>
      <c r="G198" s="58">
        <f>E198-F198</f>
        <v>5000</v>
      </c>
      <c r="H198" s="57">
        <v>0</v>
      </c>
      <c r="I198" s="59">
        <f t="shared" si="732"/>
        <v>0</v>
      </c>
      <c r="J198" s="59">
        <f t="shared" si="733"/>
        <v>0</v>
      </c>
      <c r="K198" s="74">
        <v>0</v>
      </c>
      <c r="L198" s="74">
        <v>0</v>
      </c>
      <c r="M198" s="74">
        <v>0</v>
      </c>
      <c r="N198" s="74">
        <v>0</v>
      </c>
      <c r="O198" s="61">
        <f t="shared" ref="O198:Q198" si="1084">AA198+AD198+AG198+AJ198+AM198+AP198+AS198+AV198+AY198+BB198+BE198+BH198</f>
        <v>0</v>
      </c>
      <c r="P198" s="61">
        <f t="shared" si="1084"/>
        <v>0</v>
      </c>
      <c r="Q198" s="61">
        <f t="shared" si="1084"/>
        <v>0</v>
      </c>
      <c r="R198" s="61">
        <f t="shared" ref="R198:T198" si="1085">IF(BK198=0,SUM(AA198+AD198+AG198+AJ198+AM198+AP198+AS198+AV198+AY198+BB198+BE198+BH198),BK198)</f>
        <v>0</v>
      </c>
      <c r="S198" s="61">
        <f t="shared" si="1085"/>
        <v>0</v>
      </c>
      <c r="T198" s="61">
        <f t="shared" si="1085"/>
        <v>0</v>
      </c>
      <c r="U198" s="63">
        <f>K198-O198</f>
        <v>0</v>
      </c>
      <c r="V198" s="63">
        <f>L198-M198-S198</f>
        <v>0</v>
      </c>
      <c r="W198" s="63">
        <f>N198-Q198</f>
        <v>0</v>
      </c>
      <c r="X198" s="64">
        <f t="shared" ref="X198:Y198" si="1086">IF(O198&gt;0,O198/K198,0)</f>
        <v>0</v>
      </c>
      <c r="Y198" s="64">
        <f t="shared" si="1086"/>
        <v>0</v>
      </c>
      <c r="Z198" s="64">
        <f t="shared" si="1014"/>
        <v>0</v>
      </c>
      <c r="AA198" s="65"/>
      <c r="AB198" s="65"/>
      <c r="AC198" s="65"/>
      <c r="AD198" s="65"/>
      <c r="AE198" s="66"/>
      <c r="AF198" s="66"/>
      <c r="AG198" s="66"/>
      <c r="AH198" s="66"/>
      <c r="AI198" s="65"/>
      <c r="AJ198" s="65"/>
      <c r="AK198" s="65"/>
      <c r="AL198" s="65"/>
      <c r="AM198" s="65"/>
      <c r="AN198" s="65"/>
      <c r="AO198" s="65"/>
      <c r="AP198" s="65"/>
      <c r="AQ198" s="65"/>
      <c r="AR198" s="65"/>
      <c r="AS198" s="65"/>
      <c r="AT198" s="65"/>
      <c r="AU198" s="65"/>
      <c r="AV198" s="65"/>
      <c r="AW198" s="65"/>
      <c r="AX198" s="65"/>
      <c r="AY198" s="65"/>
      <c r="AZ198" s="65"/>
      <c r="BA198" s="65"/>
      <c r="BB198" s="65"/>
      <c r="BC198" s="65"/>
      <c r="BD198" s="65"/>
      <c r="BE198" s="65"/>
      <c r="BF198" s="65"/>
      <c r="BG198" s="65"/>
      <c r="BH198" s="237"/>
      <c r="BI198" s="237"/>
      <c r="BJ198" s="237"/>
      <c r="BK198" s="65">
        <v>0</v>
      </c>
      <c r="BL198" s="65">
        <v>0</v>
      </c>
      <c r="BM198" s="65">
        <v>0</v>
      </c>
      <c r="BN198" s="65">
        <f>IF(O198-BK198&gt;0,O198-BK198,0)</f>
        <v>0</v>
      </c>
      <c r="BO198" s="67">
        <f>IF(Q198-BM198&gt;0,Q198-BM198,0)</f>
        <v>0</v>
      </c>
      <c r="BP198" s="65">
        <f>IF(BN198+BO198&gt;0,BN198+BO198,0)</f>
        <v>0</v>
      </c>
      <c r="BQ198" s="65">
        <f>IF(U198=0,0,U198)</f>
        <v>0</v>
      </c>
      <c r="BR198" s="65">
        <f>IF(W198=0,0,W198)</f>
        <v>0</v>
      </c>
      <c r="BS198" s="65">
        <f>IF(BQ198+BR198&gt;0,BQ198+BR198,0)</f>
        <v>0</v>
      </c>
      <c r="BT198" s="65">
        <f>IF(V198&gt;0,V198,0)</f>
        <v>0</v>
      </c>
      <c r="BU198" s="65">
        <f>IF(BP198=0,0,BP198)</f>
        <v>0</v>
      </c>
      <c r="BV198" s="65">
        <f>IF(BS198=0,0,BS198)</f>
        <v>0</v>
      </c>
      <c r="BW198" s="65">
        <f>IF(BP198+BT198+BV198&gt;0,BP198+BT198+BV198,0)</f>
        <v>0</v>
      </c>
      <c r="BX198" s="6"/>
      <c r="BY198" s="6"/>
      <c r="BZ198" s="6"/>
      <c r="CA198" s="6"/>
      <c r="CB198" s="6"/>
      <c r="CC198" s="6"/>
      <c r="CD198" s="6"/>
      <c r="CE198" s="6"/>
      <c r="CF198" s="6"/>
      <c r="CG198" s="6"/>
    </row>
    <row r="199" spans="1:85" ht="15.75" customHeight="1">
      <c r="A199" s="260"/>
      <c r="B199" s="261"/>
      <c r="C199" s="262"/>
      <c r="D199" s="78" t="s">
        <v>339</v>
      </c>
      <c r="E199" s="45">
        <f t="shared" ref="E199:H199" si="1087">E200</f>
        <v>30000</v>
      </c>
      <c r="F199" s="46">
        <f t="shared" si="1087"/>
        <v>0</v>
      </c>
      <c r="G199" s="46">
        <f t="shared" si="1087"/>
        <v>30000</v>
      </c>
      <c r="H199" s="46">
        <f t="shared" si="1087"/>
        <v>0</v>
      </c>
      <c r="I199" s="47">
        <f t="shared" si="732"/>
        <v>0</v>
      </c>
      <c r="J199" s="47">
        <f t="shared" si="733"/>
        <v>0</v>
      </c>
      <c r="K199" s="46">
        <f t="shared" ref="K199:W199" si="1088">K200</f>
        <v>0</v>
      </c>
      <c r="L199" s="46">
        <f t="shared" si="1088"/>
        <v>0</v>
      </c>
      <c r="M199" s="46">
        <f t="shared" si="1088"/>
        <v>0</v>
      </c>
      <c r="N199" s="46">
        <f t="shared" si="1088"/>
        <v>0</v>
      </c>
      <c r="O199" s="46">
        <f t="shared" si="1088"/>
        <v>0</v>
      </c>
      <c r="P199" s="46">
        <f t="shared" si="1088"/>
        <v>0</v>
      </c>
      <c r="Q199" s="46">
        <f t="shared" si="1088"/>
        <v>0</v>
      </c>
      <c r="R199" s="46">
        <f t="shared" si="1088"/>
        <v>0</v>
      </c>
      <c r="S199" s="46">
        <f t="shared" si="1088"/>
        <v>0</v>
      </c>
      <c r="T199" s="46">
        <f t="shared" si="1088"/>
        <v>0</v>
      </c>
      <c r="U199" s="46">
        <f t="shared" si="1088"/>
        <v>0</v>
      </c>
      <c r="V199" s="46">
        <f t="shared" si="1088"/>
        <v>0</v>
      </c>
      <c r="W199" s="46">
        <f t="shared" si="1088"/>
        <v>0</v>
      </c>
      <c r="X199" s="50">
        <f t="shared" ref="X199:Y199" si="1089">IF(O199&gt;0,O199/K199,0)</f>
        <v>0</v>
      </c>
      <c r="Y199" s="50">
        <f t="shared" si="1089"/>
        <v>0</v>
      </c>
      <c r="Z199" s="50">
        <f t="shared" si="1014"/>
        <v>0</v>
      </c>
      <c r="AA199" s="46">
        <f t="shared" ref="AA199:BW199" si="1090">AA200</f>
        <v>0</v>
      </c>
      <c r="AB199" s="46">
        <f t="shared" si="1090"/>
        <v>0</v>
      </c>
      <c r="AC199" s="46">
        <f t="shared" si="1090"/>
        <v>0</v>
      </c>
      <c r="AD199" s="46">
        <f t="shared" si="1090"/>
        <v>0</v>
      </c>
      <c r="AE199" s="46">
        <f t="shared" si="1090"/>
        <v>0</v>
      </c>
      <c r="AF199" s="46">
        <f t="shared" si="1090"/>
        <v>0</v>
      </c>
      <c r="AG199" s="46">
        <f t="shared" si="1090"/>
        <v>0</v>
      </c>
      <c r="AH199" s="46">
        <f t="shared" si="1090"/>
        <v>0</v>
      </c>
      <c r="AI199" s="46">
        <f t="shared" si="1090"/>
        <v>0</v>
      </c>
      <c r="AJ199" s="46">
        <f t="shared" si="1090"/>
        <v>0</v>
      </c>
      <c r="AK199" s="46">
        <f t="shared" si="1090"/>
        <v>0</v>
      </c>
      <c r="AL199" s="46">
        <f t="shared" si="1090"/>
        <v>0</v>
      </c>
      <c r="AM199" s="46">
        <f t="shared" si="1090"/>
        <v>0</v>
      </c>
      <c r="AN199" s="46">
        <f t="shared" si="1090"/>
        <v>0</v>
      </c>
      <c r="AO199" s="46">
        <f t="shared" si="1090"/>
        <v>0</v>
      </c>
      <c r="AP199" s="46">
        <f t="shared" si="1090"/>
        <v>0</v>
      </c>
      <c r="AQ199" s="46">
        <f t="shared" si="1090"/>
        <v>0</v>
      </c>
      <c r="AR199" s="46">
        <f t="shared" si="1090"/>
        <v>0</v>
      </c>
      <c r="AS199" s="46">
        <f t="shared" si="1090"/>
        <v>0</v>
      </c>
      <c r="AT199" s="46">
        <f t="shared" si="1090"/>
        <v>0</v>
      </c>
      <c r="AU199" s="46">
        <f t="shared" si="1090"/>
        <v>0</v>
      </c>
      <c r="AV199" s="46">
        <f t="shared" si="1090"/>
        <v>0</v>
      </c>
      <c r="AW199" s="46">
        <f t="shared" si="1090"/>
        <v>0</v>
      </c>
      <c r="AX199" s="46">
        <f t="shared" si="1090"/>
        <v>0</v>
      </c>
      <c r="AY199" s="46">
        <f t="shared" si="1090"/>
        <v>0</v>
      </c>
      <c r="AZ199" s="46">
        <f t="shared" si="1090"/>
        <v>0</v>
      </c>
      <c r="BA199" s="46">
        <f t="shared" si="1090"/>
        <v>0</v>
      </c>
      <c r="BB199" s="46">
        <f t="shared" si="1090"/>
        <v>0</v>
      </c>
      <c r="BC199" s="46">
        <f t="shared" si="1090"/>
        <v>0</v>
      </c>
      <c r="BD199" s="46">
        <f t="shared" si="1090"/>
        <v>0</v>
      </c>
      <c r="BE199" s="46">
        <f t="shared" si="1090"/>
        <v>0</v>
      </c>
      <c r="BF199" s="46">
        <f t="shared" si="1090"/>
        <v>0</v>
      </c>
      <c r="BG199" s="46">
        <f t="shared" si="1090"/>
        <v>0</v>
      </c>
      <c r="BH199" s="46">
        <f t="shared" si="1090"/>
        <v>0</v>
      </c>
      <c r="BI199" s="46">
        <f t="shared" si="1090"/>
        <v>0</v>
      </c>
      <c r="BJ199" s="46">
        <f t="shared" si="1090"/>
        <v>0</v>
      </c>
      <c r="BK199" s="46">
        <f t="shared" si="1090"/>
        <v>0</v>
      </c>
      <c r="BL199" s="46">
        <f t="shared" si="1090"/>
        <v>0</v>
      </c>
      <c r="BM199" s="46">
        <f t="shared" si="1090"/>
        <v>0</v>
      </c>
      <c r="BN199" s="46">
        <f>BN200</f>
        <v>0</v>
      </c>
      <c r="BO199" s="46">
        <f t="shared" si="1090"/>
        <v>0</v>
      </c>
      <c r="BP199" s="46">
        <f t="shared" si="1090"/>
        <v>0</v>
      </c>
      <c r="BQ199" s="46">
        <f t="shared" si="1090"/>
        <v>0</v>
      </c>
      <c r="BR199" s="46">
        <f t="shared" si="1090"/>
        <v>0</v>
      </c>
      <c r="BS199" s="46">
        <f t="shared" si="1090"/>
        <v>0</v>
      </c>
      <c r="BT199" s="46">
        <f t="shared" si="1090"/>
        <v>0</v>
      </c>
      <c r="BU199" s="46">
        <f t="shared" si="1090"/>
        <v>0</v>
      </c>
      <c r="BV199" s="46">
        <f t="shared" si="1090"/>
        <v>0</v>
      </c>
      <c r="BW199" s="46">
        <f t="shared" si="1090"/>
        <v>0</v>
      </c>
      <c r="BX199" s="6"/>
      <c r="BY199" s="6"/>
      <c r="BZ199" s="6"/>
      <c r="CA199" s="6"/>
      <c r="CB199" s="6"/>
      <c r="CC199" s="6"/>
      <c r="CD199" s="6"/>
      <c r="CE199" s="6"/>
      <c r="CF199" s="6"/>
      <c r="CG199" s="6"/>
    </row>
    <row r="200" spans="1:85" ht="15.75" customHeight="1">
      <c r="A200" s="81"/>
      <c r="B200" s="253"/>
      <c r="C200" s="81" t="s">
        <v>346</v>
      </c>
      <c r="D200" s="263" t="s">
        <v>341</v>
      </c>
      <c r="E200" s="56">
        <v>30000</v>
      </c>
      <c r="F200" s="57">
        <v>0</v>
      </c>
      <c r="G200" s="58">
        <f>E200-F200</f>
        <v>30000</v>
      </c>
      <c r="H200" s="57">
        <v>0</v>
      </c>
      <c r="I200" s="59">
        <f t="shared" si="732"/>
        <v>0</v>
      </c>
      <c r="J200" s="59">
        <f t="shared" si="733"/>
        <v>0</v>
      </c>
      <c r="K200" s="74">
        <v>0</v>
      </c>
      <c r="L200" s="74">
        <v>0</v>
      </c>
      <c r="M200" s="74">
        <v>0</v>
      </c>
      <c r="N200" s="74">
        <v>0</v>
      </c>
      <c r="O200" s="61">
        <f t="shared" ref="O200:Q200" si="1091">AA200+AD200+AG200+AJ200+AM200+AP200+AS200+AV200+AY200+BB200+BE200+BH200</f>
        <v>0</v>
      </c>
      <c r="P200" s="61">
        <f t="shared" si="1091"/>
        <v>0</v>
      </c>
      <c r="Q200" s="61">
        <f t="shared" si="1091"/>
        <v>0</v>
      </c>
      <c r="R200" s="61">
        <f t="shared" ref="R200:T200" si="1092">IF(BK200=0,SUM(AA200+AD200+AG200+AJ200+AM200+AP200+AS200+AV200+AY200+BB200+BE200+BH200),BK200)</f>
        <v>0</v>
      </c>
      <c r="S200" s="61">
        <f t="shared" si="1092"/>
        <v>0</v>
      </c>
      <c r="T200" s="61">
        <f t="shared" si="1092"/>
        <v>0</v>
      </c>
      <c r="U200" s="63">
        <f>K200-O200</f>
        <v>0</v>
      </c>
      <c r="V200" s="63">
        <f>L200-M200-S200</f>
        <v>0</v>
      </c>
      <c r="W200" s="63">
        <f>N200-Q200</f>
        <v>0</v>
      </c>
      <c r="X200" s="64">
        <f t="shared" ref="X200:Y200" si="1093">IF(O200&gt;0,O200/K200,0)</f>
        <v>0</v>
      </c>
      <c r="Y200" s="64">
        <f t="shared" si="1093"/>
        <v>0</v>
      </c>
      <c r="Z200" s="64">
        <f t="shared" si="1014"/>
        <v>0</v>
      </c>
      <c r="AA200" s="65"/>
      <c r="AB200" s="65"/>
      <c r="AC200" s="65"/>
      <c r="AD200" s="65"/>
      <c r="AE200" s="66"/>
      <c r="AF200" s="66"/>
      <c r="AG200" s="66"/>
      <c r="AH200" s="66"/>
      <c r="AI200" s="65"/>
      <c r="AJ200" s="65"/>
      <c r="AK200" s="65"/>
      <c r="AL200" s="65"/>
      <c r="AM200" s="65"/>
      <c r="AN200" s="65"/>
      <c r="AO200" s="65"/>
      <c r="AP200" s="65"/>
      <c r="AQ200" s="65"/>
      <c r="AR200" s="65"/>
      <c r="AS200" s="65"/>
      <c r="AT200" s="65"/>
      <c r="AU200" s="65"/>
      <c r="AV200" s="65"/>
      <c r="AW200" s="65"/>
      <c r="AX200" s="65"/>
      <c r="AY200" s="65"/>
      <c r="AZ200" s="65"/>
      <c r="BA200" s="65"/>
      <c r="BB200" s="65"/>
      <c r="BC200" s="65"/>
      <c r="BD200" s="65"/>
      <c r="BE200" s="65"/>
      <c r="BF200" s="65"/>
      <c r="BG200" s="65"/>
      <c r="BH200" s="237"/>
      <c r="BI200" s="237"/>
      <c r="BJ200" s="237"/>
      <c r="BK200" s="65">
        <v>0</v>
      </c>
      <c r="BL200" s="65">
        <v>0</v>
      </c>
      <c r="BM200" s="65">
        <v>0</v>
      </c>
      <c r="BN200" s="65">
        <f>IF(O200-BK200&gt;0,O200-BK200,0)</f>
        <v>0</v>
      </c>
      <c r="BO200" s="67">
        <f>IF(Q200-BM200&gt;0,Q200-BM200,0)</f>
        <v>0</v>
      </c>
      <c r="BP200" s="65">
        <f>IF(BN200+BO200&gt;0,BN200+BO200,0)</f>
        <v>0</v>
      </c>
      <c r="BQ200" s="65">
        <f>IF(U200=0,0,U200)</f>
        <v>0</v>
      </c>
      <c r="BR200" s="65">
        <f>IF(W200=0,0,W200)</f>
        <v>0</v>
      </c>
      <c r="BS200" s="65">
        <f>IF(BQ200+BR200&gt;0,BQ200+BR200,0)</f>
        <v>0</v>
      </c>
      <c r="BT200" s="65">
        <f>IF(V200&gt;0,V200,0)</f>
        <v>0</v>
      </c>
      <c r="BU200" s="65">
        <f>IF(BP200=0,0,BP200)</f>
        <v>0</v>
      </c>
      <c r="BV200" s="65">
        <f>IF(BS200=0,0,BS200)</f>
        <v>0</v>
      </c>
      <c r="BW200" s="65">
        <f>IF(BP200+BT200+BV200&gt;0,BP200+BT200+BV200,0)</f>
        <v>0</v>
      </c>
      <c r="BX200" s="6"/>
      <c r="BY200" s="6"/>
      <c r="BZ200" s="6"/>
      <c r="CA200" s="6"/>
      <c r="CB200" s="6"/>
      <c r="CC200" s="6"/>
      <c r="CD200" s="6"/>
      <c r="CE200" s="6"/>
      <c r="CF200" s="6"/>
      <c r="CG200" s="6"/>
    </row>
    <row r="201" spans="1:85" ht="15.75">
      <c r="A201" s="75"/>
      <c r="B201" s="76"/>
      <c r="C201" s="77"/>
      <c r="D201" s="78" t="s">
        <v>168</v>
      </c>
      <c r="E201" s="45">
        <f t="shared" ref="E201:H201" si="1094">SUM(E202:E203)</f>
        <v>5000</v>
      </c>
      <c r="F201" s="45">
        <f t="shared" si="1094"/>
        <v>0</v>
      </c>
      <c r="G201" s="45">
        <f t="shared" si="1094"/>
        <v>5000</v>
      </c>
      <c r="H201" s="45">
        <f t="shared" si="1094"/>
        <v>0</v>
      </c>
      <c r="I201" s="47">
        <f t="shared" si="732"/>
        <v>0</v>
      </c>
      <c r="J201" s="47">
        <f t="shared" si="733"/>
        <v>0</v>
      </c>
      <c r="K201" s="45">
        <f t="shared" ref="K201:W201" si="1095">SUM(K202:K203)</f>
        <v>0</v>
      </c>
      <c r="L201" s="45">
        <f t="shared" si="1095"/>
        <v>1275</v>
      </c>
      <c r="M201" s="45">
        <f t="shared" si="1095"/>
        <v>0</v>
      </c>
      <c r="N201" s="45">
        <f t="shared" si="1095"/>
        <v>0</v>
      </c>
      <c r="O201" s="45">
        <f t="shared" si="1095"/>
        <v>0</v>
      </c>
      <c r="P201" s="45">
        <f t="shared" si="1095"/>
        <v>0</v>
      </c>
      <c r="Q201" s="45">
        <f t="shared" si="1095"/>
        <v>0</v>
      </c>
      <c r="R201" s="45">
        <f t="shared" si="1095"/>
        <v>0</v>
      </c>
      <c r="S201" s="45">
        <f t="shared" si="1095"/>
        <v>0</v>
      </c>
      <c r="T201" s="45">
        <f t="shared" si="1095"/>
        <v>0</v>
      </c>
      <c r="U201" s="45">
        <f t="shared" si="1095"/>
        <v>0</v>
      </c>
      <c r="V201" s="45">
        <f t="shared" si="1095"/>
        <v>1275</v>
      </c>
      <c r="W201" s="45">
        <f t="shared" si="1095"/>
        <v>0</v>
      </c>
      <c r="X201" s="50">
        <f t="shared" ref="X201:Y201" si="1096">IF(O201&gt;0,O201/K201,0)</f>
        <v>0</v>
      </c>
      <c r="Y201" s="50">
        <f t="shared" si="1096"/>
        <v>0</v>
      </c>
      <c r="Z201" s="50">
        <f t="shared" si="1014"/>
        <v>0</v>
      </c>
      <c r="AA201" s="45">
        <f t="shared" ref="AA201:BW201" si="1097">SUM(AA202:AA203)</f>
        <v>0</v>
      </c>
      <c r="AB201" s="45">
        <f t="shared" si="1097"/>
        <v>0</v>
      </c>
      <c r="AC201" s="45">
        <f t="shared" si="1097"/>
        <v>0</v>
      </c>
      <c r="AD201" s="45">
        <f t="shared" si="1097"/>
        <v>0</v>
      </c>
      <c r="AE201" s="45">
        <f t="shared" si="1097"/>
        <v>0</v>
      </c>
      <c r="AF201" s="45">
        <f t="shared" si="1097"/>
        <v>0</v>
      </c>
      <c r="AG201" s="45">
        <f t="shared" si="1097"/>
        <v>0</v>
      </c>
      <c r="AH201" s="45">
        <f t="shared" si="1097"/>
        <v>0</v>
      </c>
      <c r="AI201" s="45">
        <f t="shared" si="1097"/>
        <v>0</v>
      </c>
      <c r="AJ201" s="45">
        <f t="shared" si="1097"/>
        <v>0</v>
      </c>
      <c r="AK201" s="45">
        <f t="shared" si="1097"/>
        <v>0</v>
      </c>
      <c r="AL201" s="45">
        <f t="shared" si="1097"/>
        <v>0</v>
      </c>
      <c r="AM201" s="45">
        <f t="shared" si="1097"/>
        <v>0</v>
      </c>
      <c r="AN201" s="45">
        <f t="shared" si="1097"/>
        <v>0</v>
      </c>
      <c r="AO201" s="45">
        <f t="shared" si="1097"/>
        <v>0</v>
      </c>
      <c r="AP201" s="45">
        <f t="shared" si="1097"/>
        <v>0</v>
      </c>
      <c r="AQ201" s="45">
        <f t="shared" si="1097"/>
        <v>0</v>
      </c>
      <c r="AR201" s="45">
        <f t="shared" si="1097"/>
        <v>0</v>
      </c>
      <c r="AS201" s="45">
        <f t="shared" si="1097"/>
        <v>0</v>
      </c>
      <c r="AT201" s="45">
        <f t="shared" si="1097"/>
        <v>0</v>
      </c>
      <c r="AU201" s="45">
        <f t="shared" si="1097"/>
        <v>0</v>
      </c>
      <c r="AV201" s="45">
        <f t="shared" si="1097"/>
        <v>0</v>
      </c>
      <c r="AW201" s="45">
        <f t="shared" si="1097"/>
        <v>0</v>
      </c>
      <c r="AX201" s="45">
        <f t="shared" si="1097"/>
        <v>0</v>
      </c>
      <c r="AY201" s="45">
        <f t="shared" si="1097"/>
        <v>0</v>
      </c>
      <c r="AZ201" s="45">
        <f t="shared" si="1097"/>
        <v>0</v>
      </c>
      <c r="BA201" s="45">
        <f t="shared" si="1097"/>
        <v>0</v>
      </c>
      <c r="BB201" s="45">
        <f t="shared" si="1097"/>
        <v>0</v>
      </c>
      <c r="BC201" s="45">
        <f t="shared" si="1097"/>
        <v>0</v>
      </c>
      <c r="BD201" s="45">
        <f t="shared" si="1097"/>
        <v>0</v>
      </c>
      <c r="BE201" s="45">
        <f t="shared" si="1097"/>
        <v>0</v>
      </c>
      <c r="BF201" s="45">
        <f t="shared" si="1097"/>
        <v>0</v>
      </c>
      <c r="BG201" s="45">
        <f t="shared" si="1097"/>
        <v>0</v>
      </c>
      <c r="BH201" s="45">
        <f t="shared" si="1097"/>
        <v>0</v>
      </c>
      <c r="BI201" s="45">
        <f t="shared" si="1097"/>
        <v>0</v>
      </c>
      <c r="BJ201" s="45">
        <f t="shared" si="1097"/>
        <v>0</v>
      </c>
      <c r="BK201" s="45">
        <f t="shared" si="1097"/>
        <v>0</v>
      </c>
      <c r="BL201" s="45">
        <f t="shared" si="1097"/>
        <v>0</v>
      </c>
      <c r="BM201" s="45">
        <f t="shared" si="1097"/>
        <v>0</v>
      </c>
      <c r="BN201" s="45">
        <f>SUM(BN202:BN203)</f>
        <v>0</v>
      </c>
      <c r="BO201" s="45">
        <f t="shared" si="1097"/>
        <v>0</v>
      </c>
      <c r="BP201" s="45">
        <f t="shared" si="1097"/>
        <v>0</v>
      </c>
      <c r="BQ201" s="45">
        <f t="shared" si="1097"/>
        <v>0</v>
      </c>
      <c r="BR201" s="45">
        <f t="shared" si="1097"/>
        <v>0</v>
      </c>
      <c r="BS201" s="45">
        <f t="shared" si="1097"/>
        <v>0</v>
      </c>
      <c r="BT201" s="45">
        <f t="shared" si="1097"/>
        <v>1275</v>
      </c>
      <c r="BU201" s="45">
        <f t="shared" si="1097"/>
        <v>0</v>
      </c>
      <c r="BV201" s="45">
        <f t="shared" si="1097"/>
        <v>0</v>
      </c>
      <c r="BW201" s="45">
        <f t="shared" si="1097"/>
        <v>1275</v>
      </c>
      <c r="BX201" s="51"/>
      <c r="BY201" s="51"/>
      <c r="BZ201" s="51"/>
      <c r="CA201" s="51"/>
      <c r="CB201" s="51"/>
      <c r="CC201" s="51"/>
      <c r="CD201" s="51"/>
      <c r="CE201" s="51"/>
      <c r="CF201" s="51"/>
      <c r="CG201" s="51"/>
    </row>
    <row r="202" spans="1:85" ht="15.75" customHeight="1">
      <c r="A202" s="121"/>
      <c r="B202" s="169" t="s">
        <v>347</v>
      </c>
      <c r="C202" s="68" t="s">
        <v>208</v>
      </c>
      <c r="D202" s="105" t="s">
        <v>348</v>
      </c>
      <c r="E202" s="57">
        <v>0</v>
      </c>
      <c r="F202" s="57">
        <v>0</v>
      </c>
      <c r="G202" s="58">
        <f t="shared" ref="G202:G203" si="1098">E202-F202</f>
        <v>0</v>
      </c>
      <c r="H202" s="57">
        <v>0</v>
      </c>
      <c r="I202" s="59">
        <f t="shared" si="732"/>
        <v>0</v>
      </c>
      <c r="J202" s="59">
        <f t="shared" si="733"/>
        <v>0</v>
      </c>
      <c r="K202" s="74">
        <v>0</v>
      </c>
      <c r="L202" s="85">
        <v>1275</v>
      </c>
      <c r="M202" s="74">
        <v>0</v>
      </c>
      <c r="N202" s="74">
        <v>0</v>
      </c>
      <c r="O202" s="61">
        <f t="shared" ref="O202:Q202" si="1099">AA202+AD202+AG202+AJ202+AM202+AP202+AS202+AV202+AY202+BB202+BE202+BH202</f>
        <v>0</v>
      </c>
      <c r="P202" s="61">
        <f t="shared" si="1099"/>
        <v>0</v>
      </c>
      <c r="Q202" s="61">
        <f t="shared" si="1099"/>
        <v>0</v>
      </c>
      <c r="R202" s="61">
        <f t="shared" ref="R202:T202" si="1100">IF(BK202=0,SUM(AA202+AD202+AG202+AJ202+AM202+AP202+AS202+AV202+AY202+BB202+BE202+BH202),BK202)</f>
        <v>0</v>
      </c>
      <c r="S202" s="61">
        <f t="shared" si="1100"/>
        <v>0</v>
      </c>
      <c r="T202" s="61">
        <f t="shared" si="1100"/>
        <v>0</v>
      </c>
      <c r="U202" s="63">
        <f t="shared" ref="U202:U205" si="1101">K202-O202</f>
        <v>0</v>
      </c>
      <c r="V202" s="170">
        <f t="shared" ref="V202:V203" si="1102">L202-M202-S202</f>
        <v>1275</v>
      </c>
      <c r="W202" s="63">
        <f t="shared" ref="W202:W205" si="1103">N202-Q202</f>
        <v>0</v>
      </c>
      <c r="X202" s="64">
        <f t="shared" ref="X202:Y202" si="1104">IF(O202&gt;0,O202/K202,0)</f>
        <v>0</v>
      </c>
      <c r="Y202" s="64">
        <f t="shared" si="1104"/>
        <v>0</v>
      </c>
      <c r="Z202" s="64">
        <f t="shared" si="1014"/>
        <v>0</v>
      </c>
      <c r="AA202" s="65"/>
      <c r="AB202" s="65"/>
      <c r="AC202" s="65"/>
      <c r="AD202" s="65"/>
      <c r="AE202" s="66"/>
      <c r="AF202" s="66"/>
      <c r="AG202" s="66"/>
      <c r="AH202" s="66"/>
      <c r="AI202" s="65"/>
      <c r="AJ202" s="65"/>
      <c r="AK202" s="65"/>
      <c r="AL202" s="65"/>
      <c r="AM202" s="65"/>
      <c r="AN202" s="65"/>
      <c r="AO202" s="65"/>
      <c r="AP202" s="65"/>
      <c r="AQ202" s="65"/>
      <c r="AR202" s="65"/>
      <c r="AS202" s="65"/>
      <c r="AT202" s="65"/>
      <c r="AU202" s="65"/>
      <c r="AV202" s="65"/>
      <c r="AW202" s="65"/>
      <c r="AX202" s="65"/>
      <c r="AY202" s="65"/>
      <c r="AZ202" s="65"/>
      <c r="BA202" s="65"/>
      <c r="BB202" s="65"/>
      <c r="BC202" s="65"/>
      <c r="BD202" s="65"/>
      <c r="BE202" s="65"/>
      <c r="BF202" s="65"/>
      <c r="BG202" s="65"/>
      <c r="BH202" s="237"/>
      <c r="BI202" s="237"/>
      <c r="BJ202" s="237"/>
      <c r="BK202" s="65">
        <v>0</v>
      </c>
      <c r="BL202" s="65">
        <v>0</v>
      </c>
      <c r="BM202" s="65">
        <v>0</v>
      </c>
      <c r="BN202" s="65">
        <f t="shared" ref="BN202:BN203" si="1105">IF(O202-BK202&gt;0,O202-BK202,0)</f>
        <v>0</v>
      </c>
      <c r="BO202" s="67">
        <f t="shared" ref="BO202:BO203" si="1106">IF(Q202-BM202&gt;0,Q202-BM202,0)</f>
        <v>0</v>
      </c>
      <c r="BP202" s="65">
        <f t="shared" ref="BP202:BP203" si="1107">IF(BN202+BO202&gt;0,BN202+BO202,0)</f>
        <v>0</v>
      </c>
      <c r="BQ202" s="65">
        <f t="shared" ref="BQ202:BQ203" si="1108">IF(U202=0,0,U202)</f>
        <v>0</v>
      </c>
      <c r="BR202" s="65">
        <f t="shared" ref="BR202:BR203" si="1109">IF(W202=0,0,W202)</f>
        <v>0</v>
      </c>
      <c r="BS202" s="65">
        <f t="shared" ref="BS202:BS203" si="1110">IF(BQ202+BR202&gt;0,BQ202+BR202,0)</f>
        <v>0</v>
      </c>
      <c r="BT202" s="65">
        <f t="shared" ref="BT202:BT203" si="1111">IF(V202&gt;0,V202,0)</f>
        <v>1275</v>
      </c>
      <c r="BU202" s="65">
        <f t="shared" ref="BU202:BU203" si="1112">IF(BP202=0,0,BP202)</f>
        <v>0</v>
      </c>
      <c r="BV202" s="65">
        <f t="shared" ref="BV202:BV203" si="1113">IF(BS202=0,0,BS202)</f>
        <v>0</v>
      </c>
      <c r="BW202" s="65">
        <f t="shared" ref="BW202:BW203" si="1114">IF(BP202+BT202+BV202&gt;0,BP202+BT202+BV202,0)</f>
        <v>1275</v>
      </c>
      <c r="BX202" s="6"/>
      <c r="BY202" s="6"/>
      <c r="BZ202" s="6"/>
      <c r="CA202" s="6"/>
      <c r="CB202" s="6"/>
      <c r="CC202" s="6"/>
      <c r="CD202" s="6"/>
      <c r="CE202" s="6"/>
      <c r="CF202" s="6"/>
      <c r="CG202" s="6"/>
    </row>
    <row r="203" spans="1:85" ht="15.75" customHeight="1">
      <c r="A203" s="119"/>
      <c r="B203" s="207"/>
      <c r="C203" s="71" t="s">
        <v>208</v>
      </c>
      <c r="D203" s="240" t="s">
        <v>209</v>
      </c>
      <c r="E203" s="56">
        <v>5000</v>
      </c>
      <c r="F203" s="57">
        <v>0</v>
      </c>
      <c r="G203" s="58">
        <f t="shared" si="1098"/>
        <v>5000</v>
      </c>
      <c r="H203" s="57">
        <v>0</v>
      </c>
      <c r="I203" s="59">
        <f t="shared" si="732"/>
        <v>0</v>
      </c>
      <c r="J203" s="59">
        <f t="shared" si="733"/>
        <v>0</v>
      </c>
      <c r="K203" s="74">
        <v>0</v>
      </c>
      <c r="L203" s="74">
        <v>0</v>
      </c>
      <c r="M203" s="74">
        <v>0</v>
      </c>
      <c r="N203" s="74">
        <v>0</v>
      </c>
      <c r="O203" s="61">
        <f t="shared" ref="O203:Q203" si="1115">AA203+AD203+AG203+AJ203+AM203+AP203+AS203+AV203+AY203+BB203+BE203+BH203</f>
        <v>0</v>
      </c>
      <c r="P203" s="61">
        <f t="shared" si="1115"/>
        <v>0</v>
      </c>
      <c r="Q203" s="61">
        <f t="shared" si="1115"/>
        <v>0</v>
      </c>
      <c r="R203" s="61">
        <f t="shared" ref="R203:T203" si="1116">IF(BK203=0,SUM(AA203+AD203+AG203+AJ203+AM203+AP203+AS203+AV203+AY203+BB203+BE203+BH203),BK203)</f>
        <v>0</v>
      </c>
      <c r="S203" s="61">
        <f t="shared" si="1116"/>
        <v>0</v>
      </c>
      <c r="T203" s="61">
        <f t="shared" si="1116"/>
        <v>0</v>
      </c>
      <c r="U203" s="63">
        <f t="shared" si="1101"/>
        <v>0</v>
      </c>
      <c r="V203" s="63">
        <f t="shared" si="1102"/>
        <v>0</v>
      </c>
      <c r="W203" s="63">
        <f t="shared" si="1103"/>
        <v>0</v>
      </c>
      <c r="X203" s="64">
        <f t="shared" ref="X203:Y203" si="1117">IF(O203&gt;0,O203/K203,0)</f>
        <v>0</v>
      </c>
      <c r="Y203" s="64">
        <f t="shared" si="1117"/>
        <v>0</v>
      </c>
      <c r="Z203" s="64">
        <f t="shared" si="1014"/>
        <v>0</v>
      </c>
      <c r="AA203" s="65"/>
      <c r="AB203" s="65"/>
      <c r="AC203" s="65"/>
      <c r="AD203" s="65"/>
      <c r="AE203" s="66"/>
      <c r="AF203" s="66"/>
      <c r="AG203" s="66"/>
      <c r="AH203" s="66"/>
      <c r="AI203" s="65"/>
      <c r="AJ203" s="65"/>
      <c r="AK203" s="65"/>
      <c r="AL203" s="65"/>
      <c r="AM203" s="65"/>
      <c r="AN203" s="65"/>
      <c r="AO203" s="65"/>
      <c r="AP203" s="65"/>
      <c r="AQ203" s="65"/>
      <c r="AR203" s="65"/>
      <c r="AS203" s="65"/>
      <c r="AT203" s="65"/>
      <c r="AU203" s="65"/>
      <c r="AV203" s="65"/>
      <c r="AW203" s="65"/>
      <c r="AX203" s="65"/>
      <c r="AY203" s="65"/>
      <c r="AZ203" s="65"/>
      <c r="BA203" s="65"/>
      <c r="BB203" s="65"/>
      <c r="BC203" s="65"/>
      <c r="BD203" s="65"/>
      <c r="BE203" s="65"/>
      <c r="BF203" s="65"/>
      <c r="BG203" s="65"/>
      <c r="BH203" s="237"/>
      <c r="BI203" s="237"/>
      <c r="BJ203" s="237"/>
      <c r="BK203" s="65">
        <v>0</v>
      </c>
      <c r="BL203" s="65">
        <v>0</v>
      </c>
      <c r="BM203" s="65">
        <v>0</v>
      </c>
      <c r="BN203" s="65">
        <f t="shared" si="1105"/>
        <v>0</v>
      </c>
      <c r="BO203" s="67">
        <f t="shared" si="1106"/>
        <v>0</v>
      </c>
      <c r="BP203" s="65">
        <f t="shared" si="1107"/>
        <v>0</v>
      </c>
      <c r="BQ203" s="65">
        <f t="shared" si="1108"/>
        <v>0</v>
      </c>
      <c r="BR203" s="65">
        <f t="shared" si="1109"/>
        <v>0</v>
      </c>
      <c r="BS203" s="65">
        <f t="shared" si="1110"/>
        <v>0</v>
      </c>
      <c r="BT203" s="65">
        <f t="shared" si="1111"/>
        <v>0</v>
      </c>
      <c r="BU203" s="65">
        <f t="shared" si="1112"/>
        <v>0</v>
      </c>
      <c r="BV203" s="65">
        <f t="shared" si="1113"/>
        <v>0</v>
      </c>
      <c r="BW203" s="65">
        <f t="shared" si="1114"/>
        <v>0</v>
      </c>
      <c r="BX203" s="6"/>
      <c r="BY203" s="6"/>
      <c r="BZ203" s="6"/>
      <c r="CA203" s="6"/>
      <c r="CB203" s="6"/>
      <c r="CC203" s="6"/>
      <c r="CD203" s="6"/>
      <c r="CE203" s="6"/>
      <c r="CF203" s="6"/>
      <c r="CG203" s="6"/>
    </row>
    <row r="204" spans="1:85" ht="15.75" customHeight="1">
      <c r="A204" s="260"/>
      <c r="B204" s="261"/>
      <c r="C204" s="262"/>
      <c r="D204" s="78" t="s">
        <v>247</v>
      </c>
      <c r="E204" s="45">
        <f t="shared" ref="E204:H204" si="1118">E205</f>
        <v>6000</v>
      </c>
      <c r="F204" s="46">
        <f t="shared" si="1118"/>
        <v>0</v>
      </c>
      <c r="G204" s="46">
        <f t="shared" si="1118"/>
        <v>6000</v>
      </c>
      <c r="H204" s="46">
        <f t="shared" si="1118"/>
        <v>0</v>
      </c>
      <c r="I204" s="47">
        <f t="shared" si="732"/>
        <v>0</v>
      </c>
      <c r="J204" s="47">
        <f t="shared" si="733"/>
        <v>0</v>
      </c>
      <c r="K204" s="46">
        <f t="shared" ref="K204:N204" si="1119">K205</f>
        <v>0</v>
      </c>
      <c r="L204" s="46">
        <f t="shared" si="1119"/>
        <v>0</v>
      </c>
      <c r="M204" s="46">
        <f t="shared" si="1119"/>
        <v>0</v>
      </c>
      <c r="N204" s="46">
        <f t="shared" si="1119"/>
        <v>0</v>
      </c>
      <c r="O204" s="49">
        <f t="shared" ref="O204:Q204" si="1120">AA204+AD204+AG204+AJ204+AM204+AP204+AS204+AV204+AY204+BB204+BE204+BH204</f>
        <v>0</v>
      </c>
      <c r="P204" s="49">
        <f t="shared" si="1120"/>
        <v>0</v>
      </c>
      <c r="Q204" s="49">
        <f t="shared" si="1120"/>
        <v>0</v>
      </c>
      <c r="R204" s="49">
        <f t="shared" ref="R204:T204" si="1121">IF(BK204=0,SUM(AA204+AD204+AG204+AJ204+AM204+AP204+AS204+AV204+AY204+BB204+BE204+BH204),BK204)</f>
        <v>0</v>
      </c>
      <c r="S204" s="49">
        <f t="shared" si="1121"/>
        <v>0</v>
      </c>
      <c r="T204" s="49">
        <f t="shared" si="1121"/>
        <v>0</v>
      </c>
      <c r="U204" s="48">
        <f t="shared" si="1101"/>
        <v>0</v>
      </c>
      <c r="V204" s="48">
        <f>L204-P204-M204</f>
        <v>0</v>
      </c>
      <c r="W204" s="48">
        <f t="shared" si="1103"/>
        <v>0</v>
      </c>
      <c r="X204" s="50">
        <f t="shared" ref="X204:Y204" si="1122">IF(O204&gt;0,O204/K204,0)</f>
        <v>0</v>
      </c>
      <c r="Y204" s="50">
        <f t="shared" si="1122"/>
        <v>0</v>
      </c>
      <c r="Z204" s="50">
        <f t="shared" si="1014"/>
        <v>0</v>
      </c>
      <c r="AA204" s="256">
        <f>AA205</f>
        <v>0</v>
      </c>
      <c r="AB204" s="256">
        <f t="shared" ref="AB204:BW204" si="1123">AB205</f>
        <v>0</v>
      </c>
      <c r="AC204" s="256">
        <f t="shared" si="1123"/>
        <v>0</v>
      </c>
      <c r="AD204" s="256">
        <f t="shared" si="1123"/>
        <v>0</v>
      </c>
      <c r="AE204" s="256">
        <f t="shared" si="1123"/>
        <v>0</v>
      </c>
      <c r="AF204" s="256">
        <f t="shared" si="1123"/>
        <v>0</v>
      </c>
      <c r="AG204" s="256">
        <f t="shared" si="1123"/>
        <v>0</v>
      </c>
      <c r="AH204" s="256">
        <f t="shared" si="1123"/>
        <v>0</v>
      </c>
      <c r="AI204" s="256">
        <f t="shared" si="1123"/>
        <v>0</v>
      </c>
      <c r="AJ204" s="256">
        <f t="shared" si="1123"/>
        <v>0</v>
      </c>
      <c r="AK204" s="256">
        <f t="shared" si="1123"/>
        <v>0</v>
      </c>
      <c r="AL204" s="256">
        <f t="shared" si="1123"/>
        <v>0</v>
      </c>
      <c r="AM204" s="256">
        <f t="shared" si="1123"/>
        <v>0</v>
      </c>
      <c r="AN204" s="256">
        <f t="shared" si="1123"/>
        <v>0</v>
      </c>
      <c r="AO204" s="256">
        <f t="shared" si="1123"/>
        <v>0</v>
      </c>
      <c r="AP204" s="256">
        <f t="shared" si="1123"/>
        <v>0</v>
      </c>
      <c r="AQ204" s="256">
        <f t="shared" si="1123"/>
        <v>0</v>
      </c>
      <c r="AR204" s="256">
        <f t="shared" si="1123"/>
        <v>0</v>
      </c>
      <c r="AS204" s="256">
        <f t="shared" si="1123"/>
        <v>0</v>
      </c>
      <c r="AT204" s="256">
        <f t="shared" si="1123"/>
        <v>0</v>
      </c>
      <c r="AU204" s="256">
        <f t="shared" si="1123"/>
        <v>0</v>
      </c>
      <c r="AV204" s="256">
        <f t="shared" si="1123"/>
        <v>0</v>
      </c>
      <c r="AW204" s="256">
        <f t="shared" si="1123"/>
        <v>0</v>
      </c>
      <c r="AX204" s="256">
        <f t="shared" si="1123"/>
        <v>0</v>
      </c>
      <c r="AY204" s="256">
        <f t="shared" si="1123"/>
        <v>0</v>
      </c>
      <c r="AZ204" s="256">
        <f t="shared" si="1123"/>
        <v>0</v>
      </c>
      <c r="BA204" s="256">
        <f t="shared" si="1123"/>
        <v>0</v>
      </c>
      <c r="BB204" s="256">
        <f t="shared" si="1123"/>
        <v>0</v>
      </c>
      <c r="BC204" s="256">
        <f t="shared" si="1123"/>
        <v>0</v>
      </c>
      <c r="BD204" s="256">
        <f t="shared" si="1123"/>
        <v>0</v>
      </c>
      <c r="BE204" s="256">
        <f t="shared" si="1123"/>
        <v>0</v>
      </c>
      <c r="BF204" s="256">
        <f t="shared" si="1123"/>
        <v>0</v>
      </c>
      <c r="BG204" s="256">
        <f t="shared" si="1123"/>
        <v>0</v>
      </c>
      <c r="BH204" s="256">
        <f t="shared" si="1123"/>
        <v>0</v>
      </c>
      <c r="BI204" s="256">
        <f t="shared" si="1123"/>
        <v>0</v>
      </c>
      <c r="BJ204" s="256">
        <f t="shared" si="1123"/>
        <v>0</v>
      </c>
      <c r="BK204" s="256">
        <f t="shared" si="1123"/>
        <v>0</v>
      </c>
      <c r="BL204" s="256">
        <f t="shared" si="1123"/>
        <v>0</v>
      </c>
      <c r="BM204" s="256">
        <f t="shared" si="1123"/>
        <v>0</v>
      </c>
      <c r="BN204" s="256">
        <f t="shared" si="1123"/>
        <v>0</v>
      </c>
      <c r="BO204" s="256">
        <f t="shared" si="1123"/>
        <v>0</v>
      </c>
      <c r="BP204" s="256">
        <f t="shared" si="1123"/>
        <v>0</v>
      </c>
      <c r="BQ204" s="256">
        <f t="shared" si="1123"/>
        <v>0</v>
      </c>
      <c r="BR204" s="256">
        <f t="shared" si="1123"/>
        <v>0</v>
      </c>
      <c r="BS204" s="256">
        <f t="shared" si="1123"/>
        <v>0</v>
      </c>
      <c r="BT204" s="256">
        <f t="shared" si="1123"/>
        <v>0</v>
      </c>
      <c r="BU204" s="256">
        <f t="shared" si="1123"/>
        <v>0</v>
      </c>
      <c r="BV204" s="256">
        <f t="shared" si="1123"/>
        <v>0</v>
      </c>
      <c r="BW204" s="256">
        <f t="shared" si="1123"/>
        <v>0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</row>
    <row r="205" spans="1:85" ht="15.75" customHeight="1">
      <c r="A205" s="81"/>
      <c r="B205" s="253"/>
      <c r="C205" s="81" t="s">
        <v>342</v>
      </c>
      <c r="D205" s="254" t="s">
        <v>343</v>
      </c>
      <c r="E205" s="56">
        <v>6000</v>
      </c>
      <c r="F205" s="57">
        <v>0</v>
      </c>
      <c r="G205" s="58">
        <f>E205-F205</f>
        <v>6000</v>
      </c>
      <c r="H205" s="57">
        <v>0</v>
      </c>
      <c r="I205" s="59">
        <f t="shared" si="732"/>
        <v>0</v>
      </c>
      <c r="J205" s="59">
        <f t="shared" si="733"/>
        <v>0</v>
      </c>
      <c r="K205" s="74">
        <v>0</v>
      </c>
      <c r="L205" s="74">
        <v>0</v>
      </c>
      <c r="M205" s="74">
        <v>0</v>
      </c>
      <c r="N205" s="74">
        <v>0</v>
      </c>
      <c r="O205" s="61">
        <f t="shared" ref="O205:Q205" si="1124">AA205+AD205+AG205+AJ205+AM205+AP205+AS205+AV205+AY205+BB205+BE205+BH205</f>
        <v>0</v>
      </c>
      <c r="P205" s="61">
        <f t="shared" si="1124"/>
        <v>0</v>
      </c>
      <c r="Q205" s="61">
        <f t="shared" si="1124"/>
        <v>0</v>
      </c>
      <c r="R205" s="61">
        <f t="shared" ref="R205:T205" si="1125">IF(BK205=0,SUM(AA205+AD205+AG205+AJ205+AM205+AP205+AS205+AV205+AY205+BB205+BE205+BH205),BK205)</f>
        <v>0</v>
      </c>
      <c r="S205" s="61">
        <f t="shared" si="1125"/>
        <v>0</v>
      </c>
      <c r="T205" s="61">
        <f t="shared" si="1125"/>
        <v>0</v>
      </c>
      <c r="U205" s="63">
        <f t="shared" si="1101"/>
        <v>0</v>
      </c>
      <c r="V205" s="63">
        <f>L205-M205-S205</f>
        <v>0</v>
      </c>
      <c r="W205" s="63">
        <f t="shared" si="1103"/>
        <v>0</v>
      </c>
      <c r="X205" s="64">
        <f t="shared" ref="X205:Y205" si="1126">IF(O205&gt;0,O205/K205,0)</f>
        <v>0</v>
      </c>
      <c r="Y205" s="64">
        <f t="shared" si="1126"/>
        <v>0</v>
      </c>
      <c r="Z205" s="64">
        <f t="shared" si="1014"/>
        <v>0</v>
      </c>
      <c r="AA205" s="67"/>
      <c r="AB205" s="67"/>
      <c r="AC205" s="67"/>
      <c r="AD205" s="67"/>
      <c r="AE205" s="66"/>
      <c r="AF205" s="66"/>
      <c r="AG205" s="66"/>
      <c r="AH205" s="66"/>
      <c r="AI205" s="67"/>
      <c r="AJ205" s="67"/>
      <c r="AK205" s="67"/>
      <c r="AL205" s="67"/>
      <c r="AM205" s="67"/>
      <c r="AN205" s="67"/>
      <c r="AO205" s="67"/>
      <c r="AP205" s="67"/>
      <c r="AQ205" s="67"/>
      <c r="AR205" s="67"/>
      <c r="AS205" s="67"/>
      <c r="AT205" s="67"/>
      <c r="AU205" s="67"/>
      <c r="AV205" s="67"/>
      <c r="AW205" s="67"/>
      <c r="AX205" s="67"/>
      <c r="AY205" s="67"/>
      <c r="AZ205" s="67"/>
      <c r="BA205" s="67"/>
      <c r="BB205" s="67"/>
      <c r="BC205" s="67"/>
      <c r="BD205" s="67"/>
      <c r="BE205" s="67"/>
      <c r="BF205" s="67"/>
      <c r="BG205" s="67"/>
      <c r="BH205" s="67"/>
      <c r="BI205" s="67"/>
      <c r="BJ205" s="67"/>
      <c r="BK205" s="244">
        <v>0</v>
      </c>
      <c r="BL205" s="244">
        <v>0</v>
      </c>
      <c r="BM205" s="244">
        <v>0</v>
      </c>
      <c r="BN205" s="65">
        <f>IF(O205-BK205&gt;0,O205-BK205,0)</f>
        <v>0</v>
      </c>
      <c r="BO205" s="67">
        <f>IF(Q205-BM205&gt;0,Q205-BM205,0)</f>
        <v>0</v>
      </c>
      <c r="BP205" s="65">
        <f>IF(BN205+BO205&gt;0,BN205+BO205,0)</f>
        <v>0</v>
      </c>
      <c r="BQ205" s="65">
        <f>IF(U205=0,0,U205)</f>
        <v>0</v>
      </c>
      <c r="BR205" s="65">
        <f>IF(W205=0,0,W205)</f>
        <v>0</v>
      </c>
      <c r="BS205" s="65">
        <f>IF(BQ205+BR205&gt;0,BQ205+BR205,0)</f>
        <v>0</v>
      </c>
      <c r="BT205" s="65">
        <f>IF(V205&gt;0,V205,0)</f>
        <v>0</v>
      </c>
      <c r="BU205" s="65">
        <f>IF(BP205=0,0,BP205)</f>
        <v>0</v>
      </c>
      <c r="BV205" s="65">
        <f>IF(BS205=0,0,BS205)</f>
        <v>0</v>
      </c>
      <c r="BW205" s="65">
        <f>IF(BP205+BT205+BV205&gt;0,BP205+BT205+BV205,0)</f>
        <v>0</v>
      </c>
      <c r="BX205" s="6"/>
      <c r="BY205" s="6"/>
      <c r="BZ205" s="6"/>
      <c r="CA205" s="6"/>
      <c r="CB205" s="6"/>
      <c r="CC205" s="6"/>
      <c r="CD205" s="6"/>
      <c r="CE205" s="6"/>
      <c r="CF205" s="6"/>
      <c r="CG205" s="6"/>
    </row>
    <row r="206" spans="1:85" ht="15.75" customHeight="1">
      <c r="A206" s="34"/>
      <c r="B206" s="35"/>
      <c r="C206" s="36"/>
      <c r="D206" s="37" t="s">
        <v>349</v>
      </c>
      <c r="E206" s="38">
        <f t="shared" ref="E206:H206" si="1127">E207+E227</f>
        <v>49000</v>
      </c>
      <c r="F206" s="38">
        <f t="shared" si="1127"/>
        <v>0</v>
      </c>
      <c r="G206" s="38">
        <f t="shared" si="1127"/>
        <v>49000</v>
      </c>
      <c r="H206" s="38">
        <f t="shared" si="1127"/>
        <v>0</v>
      </c>
      <c r="I206" s="39">
        <f t="shared" si="732"/>
        <v>2.4249124489795921</v>
      </c>
      <c r="J206" s="39">
        <f t="shared" si="733"/>
        <v>0.5632551020408163</v>
      </c>
      <c r="K206" s="38">
        <f t="shared" ref="K206:W206" si="1128">K207+K227</f>
        <v>118820.71</v>
      </c>
      <c r="L206" s="38">
        <f t="shared" si="1128"/>
        <v>23068.559999999998</v>
      </c>
      <c r="M206" s="38">
        <f t="shared" si="1128"/>
        <v>0</v>
      </c>
      <c r="N206" s="38">
        <f t="shared" si="1128"/>
        <v>0</v>
      </c>
      <c r="O206" s="38">
        <f t="shared" si="1128"/>
        <v>27599.5</v>
      </c>
      <c r="P206" s="38">
        <f t="shared" si="1128"/>
        <v>15502.56</v>
      </c>
      <c r="Q206" s="38">
        <f t="shared" si="1128"/>
        <v>0</v>
      </c>
      <c r="R206" s="38">
        <f t="shared" si="1128"/>
        <v>27599.5</v>
      </c>
      <c r="S206" s="38">
        <f t="shared" si="1128"/>
        <v>15502.56</v>
      </c>
      <c r="T206" s="38">
        <f t="shared" si="1128"/>
        <v>0</v>
      </c>
      <c r="U206" s="38">
        <f t="shared" si="1128"/>
        <v>91221.209999999992</v>
      </c>
      <c r="V206" s="38">
        <f t="shared" si="1128"/>
        <v>7566</v>
      </c>
      <c r="W206" s="38">
        <f t="shared" si="1128"/>
        <v>0</v>
      </c>
      <c r="X206" s="40">
        <f t="shared" ref="X206:Y206" si="1129">IF(O206&gt;0,O206/K206,0)</f>
        <v>0.23227853124257547</v>
      </c>
      <c r="Y206" s="40">
        <f t="shared" si="1129"/>
        <v>0.67202114046130323</v>
      </c>
      <c r="Z206" s="40">
        <f t="shared" si="1014"/>
        <v>0</v>
      </c>
      <c r="AA206" s="38">
        <f t="shared" ref="AA206:BW206" si="1130">AA207+AA227</f>
        <v>0</v>
      </c>
      <c r="AB206" s="38">
        <f t="shared" si="1130"/>
        <v>554.52</v>
      </c>
      <c r="AC206" s="38">
        <f t="shared" si="1130"/>
        <v>0</v>
      </c>
      <c r="AD206" s="38">
        <f t="shared" si="1130"/>
        <v>0</v>
      </c>
      <c r="AE206" s="38">
        <f t="shared" si="1130"/>
        <v>7282.52</v>
      </c>
      <c r="AF206" s="38">
        <f t="shared" si="1130"/>
        <v>0</v>
      </c>
      <c r="AG206" s="38">
        <f t="shared" si="1130"/>
        <v>5927.2999999999993</v>
      </c>
      <c r="AH206" s="38">
        <f t="shared" si="1130"/>
        <v>554.52</v>
      </c>
      <c r="AI206" s="38">
        <f t="shared" si="1130"/>
        <v>0</v>
      </c>
      <c r="AJ206" s="38">
        <f t="shared" si="1130"/>
        <v>7194.12</v>
      </c>
      <c r="AK206" s="38">
        <f t="shared" si="1130"/>
        <v>0</v>
      </c>
      <c r="AL206" s="38">
        <f t="shared" si="1130"/>
        <v>0</v>
      </c>
      <c r="AM206" s="38">
        <f t="shared" si="1130"/>
        <v>7161.7</v>
      </c>
      <c r="AN206" s="38">
        <f t="shared" si="1130"/>
        <v>0</v>
      </c>
      <c r="AO206" s="38">
        <f t="shared" si="1130"/>
        <v>0</v>
      </c>
      <c r="AP206" s="38">
        <f t="shared" si="1130"/>
        <v>7316.38</v>
      </c>
      <c r="AQ206" s="38">
        <f t="shared" si="1130"/>
        <v>7111</v>
      </c>
      <c r="AR206" s="38">
        <f t="shared" si="1130"/>
        <v>0</v>
      </c>
      <c r="AS206" s="38">
        <f t="shared" si="1130"/>
        <v>0</v>
      </c>
      <c r="AT206" s="38">
        <f t="shared" si="1130"/>
        <v>0</v>
      </c>
      <c r="AU206" s="38">
        <f t="shared" si="1130"/>
        <v>0</v>
      </c>
      <c r="AV206" s="38">
        <f t="shared" si="1130"/>
        <v>0</v>
      </c>
      <c r="AW206" s="38">
        <f t="shared" si="1130"/>
        <v>0</v>
      </c>
      <c r="AX206" s="38">
        <f t="shared" si="1130"/>
        <v>0</v>
      </c>
      <c r="AY206" s="38">
        <f t="shared" si="1130"/>
        <v>0</v>
      </c>
      <c r="AZ206" s="38">
        <f t="shared" si="1130"/>
        <v>0</v>
      </c>
      <c r="BA206" s="38">
        <f t="shared" si="1130"/>
        <v>0</v>
      </c>
      <c r="BB206" s="38">
        <f t="shared" si="1130"/>
        <v>0</v>
      </c>
      <c r="BC206" s="38">
        <f t="shared" si="1130"/>
        <v>0</v>
      </c>
      <c r="BD206" s="38">
        <f t="shared" si="1130"/>
        <v>0</v>
      </c>
      <c r="BE206" s="38">
        <f t="shared" si="1130"/>
        <v>0</v>
      </c>
      <c r="BF206" s="38">
        <f t="shared" si="1130"/>
        <v>0</v>
      </c>
      <c r="BG206" s="38">
        <f t="shared" si="1130"/>
        <v>0</v>
      </c>
      <c r="BH206" s="38">
        <f t="shared" si="1130"/>
        <v>0</v>
      </c>
      <c r="BI206" s="38">
        <f t="shared" si="1130"/>
        <v>0</v>
      </c>
      <c r="BJ206" s="38">
        <f t="shared" si="1130"/>
        <v>0</v>
      </c>
      <c r="BK206" s="38">
        <f t="shared" si="1130"/>
        <v>0</v>
      </c>
      <c r="BL206" s="38">
        <f t="shared" si="1130"/>
        <v>0</v>
      </c>
      <c r="BM206" s="38">
        <f t="shared" si="1130"/>
        <v>0</v>
      </c>
      <c r="BN206" s="38">
        <f t="shared" si="1130"/>
        <v>27599.5</v>
      </c>
      <c r="BO206" s="38">
        <f t="shared" si="1130"/>
        <v>0</v>
      </c>
      <c r="BP206" s="38">
        <f t="shared" si="1130"/>
        <v>27599.5</v>
      </c>
      <c r="BQ206" s="38">
        <f t="shared" si="1130"/>
        <v>91221.209999999992</v>
      </c>
      <c r="BR206" s="38">
        <f t="shared" si="1130"/>
        <v>0</v>
      </c>
      <c r="BS206" s="38">
        <f t="shared" si="1130"/>
        <v>91221.209999999992</v>
      </c>
      <c r="BT206" s="38">
        <f t="shared" si="1130"/>
        <v>7566</v>
      </c>
      <c r="BU206" s="38">
        <f t="shared" si="1130"/>
        <v>27599.5</v>
      </c>
      <c r="BV206" s="38">
        <f t="shared" si="1130"/>
        <v>91221.209999999992</v>
      </c>
      <c r="BW206" s="38">
        <f t="shared" si="1130"/>
        <v>126386.71</v>
      </c>
      <c r="BX206" s="6"/>
      <c r="BY206" s="6"/>
      <c r="BZ206" s="6"/>
      <c r="CA206" s="6"/>
      <c r="CB206" s="6"/>
      <c r="CC206" s="6"/>
      <c r="CD206" s="6"/>
      <c r="CE206" s="6"/>
      <c r="CF206" s="6"/>
      <c r="CG206" s="6"/>
    </row>
    <row r="207" spans="1:85" ht="15.75">
      <c r="A207" s="75"/>
      <c r="B207" s="76"/>
      <c r="C207" s="77"/>
      <c r="D207" s="78" t="s">
        <v>83</v>
      </c>
      <c r="E207" s="45">
        <f t="shared" ref="E207:H207" si="1131">SUM(E208:E226)</f>
        <v>0</v>
      </c>
      <c r="F207" s="45">
        <f t="shared" si="1131"/>
        <v>0</v>
      </c>
      <c r="G207" s="45">
        <f t="shared" si="1131"/>
        <v>0</v>
      </c>
      <c r="H207" s="45">
        <f t="shared" si="1131"/>
        <v>0</v>
      </c>
      <c r="I207" s="47">
        <f t="shared" si="732"/>
        <v>0</v>
      </c>
      <c r="J207" s="47">
        <f t="shared" si="733"/>
        <v>0</v>
      </c>
      <c r="K207" s="45">
        <f t="shared" ref="K207:W207" si="1132">SUM(K208:K226)</f>
        <v>0</v>
      </c>
      <c r="L207" s="45">
        <f t="shared" si="1132"/>
        <v>0</v>
      </c>
      <c r="M207" s="45">
        <f t="shared" si="1132"/>
        <v>0</v>
      </c>
      <c r="N207" s="45">
        <f t="shared" si="1132"/>
        <v>0</v>
      </c>
      <c r="O207" s="45">
        <f t="shared" si="1132"/>
        <v>0</v>
      </c>
      <c r="P207" s="45">
        <f t="shared" si="1132"/>
        <v>0</v>
      </c>
      <c r="Q207" s="45">
        <f t="shared" si="1132"/>
        <v>0</v>
      </c>
      <c r="R207" s="45">
        <f t="shared" si="1132"/>
        <v>0</v>
      </c>
      <c r="S207" s="45">
        <f t="shared" si="1132"/>
        <v>0</v>
      </c>
      <c r="T207" s="45">
        <f t="shared" si="1132"/>
        <v>0</v>
      </c>
      <c r="U207" s="45">
        <f t="shared" si="1132"/>
        <v>0</v>
      </c>
      <c r="V207" s="45">
        <f t="shared" si="1132"/>
        <v>0</v>
      </c>
      <c r="W207" s="45">
        <f t="shared" si="1132"/>
        <v>0</v>
      </c>
      <c r="X207" s="50">
        <f t="shared" ref="X207:Y207" si="1133">IF(O207&gt;0,O207/K207,0)</f>
        <v>0</v>
      </c>
      <c r="Y207" s="50">
        <f t="shared" si="1133"/>
        <v>0</v>
      </c>
      <c r="Z207" s="50">
        <f t="shared" si="1014"/>
        <v>0</v>
      </c>
      <c r="AA207" s="45">
        <f t="shared" ref="AA207:BW207" si="1134">SUM(AA208:AA226)</f>
        <v>0</v>
      </c>
      <c r="AB207" s="45">
        <f t="shared" si="1134"/>
        <v>0</v>
      </c>
      <c r="AC207" s="45">
        <f t="shared" si="1134"/>
        <v>0</v>
      </c>
      <c r="AD207" s="45">
        <f t="shared" si="1134"/>
        <v>0</v>
      </c>
      <c r="AE207" s="45">
        <f t="shared" si="1134"/>
        <v>0</v>
      </c>
      <c r="AF207" s="45">
        <f t="shared" si="1134"/>
        <v>0</v>
      </c>
      <c r="AG207" s="45">
        <f t="shared" si="1134"/>
        <v>0</v>
      </c>
      <c r="AH207" s="45">
        <f t="shared" si="1134"/>
        <v>0</v>
      </c>
      <c r="AI207" s="45">
        <f t="shared" si="1134"/>
        <v>0</v>
      </c>
      <c r="AJ207" s="45">
        <f t="shared" si="1134"/>
        <v>0</v>
      </c>
      <c r="AK207" s="45">
        <f t="shared" si="1134"/>
        <v>0</v>
      </c>
      <c r="AL207" s="45">
        <f t="shared" si="1134"/>
        <v>0</v>
      </c>
      <c r="AM207" s="45">
        <f t="shared" si="1134"/>
        <v>0</v>
      </c>
      <c r="AN207" s="45">
        <f t="shared" si="1134"/>
        <v>0</v>
      </c>
      <c r="AO207" s="45">
        <f t="shared" si="1134"/>
        <v>0</v>
      </c>
      <c r="AP207" s="45">
        <f t="shared" si="1134"/>
        <v>0</v>
      </c>
      <c r="AQ207" s="45">
        <f t="shared" si="1134"/>
        <v>0</v>
      </c>
      <c r="AR207" s="45">
        <f t="shared" si="1134"/>
        <v>0</v>
      </c>
      <c r="AS207" s="45">
        <f t="shared" si="1134"/>
        <v>0</v>
      </c>
      <c r="AT207" s="45">
        <f t="shared" si="1134"/>
        <v>0</v>
      </c>
      <c r="AU207" s="45">
        <f t="shared" si="1134"/>
        <v>0</v>
      </c>
      <c r="AV207" s="45">
        <f t="shared" si="1134"/>
        <v>0</v>
      </c>
      <c r="AW207" s="45">
        <f t="shared" si="1134"/>
        <v>0</v>
      </c>
      <c r="AX207" s="45">
        <f t="shared" si="1134"/>
        <v>0</v>
      </c>
      <c r="AY207" s="45">
        <f t="shared" si="1134"/>
        <v>0</v>
      </c>
      <c r="AZ207" s="45">
        <f t="shared" si="1134"/>
        <v>0</v>
      </c>
      <c r="BA207" s="45">
        <f t="shared" si="1134"/>
        <v>0</v>
      </c>
      <c r="BB207" s="45">
        <f t="shared" si="1134"/>
        <v>0</v>
      </c>
      <c r="BC207" s="45">
        <f t="shared" si="1134"/>
        <v>0</v>
      </c>
      <c r="BD207" s="45">
        <f t="shared" si="1134"/>
        <v>0</v>
      </c>
      <c r="BE207" s="45">
        <f t="shared" si="1134"/>
        <v>0</v>
      </c>
      <c r="BF207" s="45">
        <f t="shared" si="1134"/>
        <v>0</v>
      </c>
      <c r="BG207" s="45">
        <f t="shared" si="1134"/>
        <v>0</v>
      </c>
      <c r="BH207" s="45">
        <f t="shared" si="1134"/>
        <v>0</v>
      </c>
      <c r="BI207" s="45">
        <f t="shared" si="1134"/>
        <v>0</v>
      </c>
      <c r="BJ207" s="45">
        <f t="shared" si="1134"/>
        <v>0</v>
      </c>
      <c r="BK207" s="45">
        <f t="shared" si="1134"/>
        <v>0</v>
      </c>
      <c r="BL207" s="45">
        <f t="shared" si="1134"/>
        <v>0</v>
      </c>
      <c r="BM207" s="45">
        <f t="shared" si="1134"/>
        <v>0</v>
      </c>
      <c r="BN207" s="45">
        <f t="shared" si="1134"/>
        <v>0</v>
      </c>
      <c r="BO207" s="45">
        <f t="shared" si="1134"/>
        <v>0</v>
      </c>
      <c r="BP207" s="45">
        <f t="shared" si="1134"/>
        <v>0</v>
      </c>
      <c r="BQ207" s="45">
        <f t="shared" si="1134"/>
        <v>0</v>
      </c>
      <c r="BR207" s="45">
        <f t="shared" si="1134"/>
        <v>0</v>
      </c>
      <c r="BS207" s="45">
        <f t="shared" si="1134"/>
        <v>0</v>
      </c>
      <c r="BT207" s="45">
        <f t="shared" si="1134"/>
        <v>0</v>
      </c>
      <c r="BU207" s="45">
        <f t="shared" si="1134"/>
        <v>0</v>
      </c>
      <c r="BV207" s="45">
        <f t="shared" si="1134"/>
        <v>0</v>
      </c>
      <c r="BW207" s="45">
        <f t="shared" si="1134"/>
        <v>0</v>
      </c>
      <c r="BX207" s="51"/>
      <c r="BY207" s="51"/>
      <c r="BZ207" s="51"/>
      <c r="CA207" s="51"/>
      <c r="CB207" s="51"/>
      <c r="CC207" s="51"/>
      <c r="CD207" s="51"/>
      <c r="CE207" s="51"/>
      <c r="CF207" s="51"/>
      <c r="CG207" s="51"/>
    </row>
    <row r="208" spans="1:85" ht="15.75" customHeight="1">
      <c r="A208" s="54"/>
      <c r="B208" s="102"/>
      <c r="C208" s="54" t="s">
        <v>350</v>
      </c>
      <c r="D208" s="55" t="s">
        <v>351</v>
      </c>
      <c r="E208" s="57">
        <v>0</v>
      </c>
      <c r="F208" s="57">
        <v>0</v>
      </c>
      <c r="G208" s="58">
        <f t="shared" ref="G208:G226" si="1135">E208-F208</f>
        <v>0</v>
      </c>
      <c r="H208" s="57">
        <v>0</v>
      </c>
      <c r="I208" s="59">
        <f t="shared" si="732"/>
        <v>0</v>
      </c>
      <c r="J208" s="59">
        <f t="shared" si="733"/>
        <v>0</v>
      </c>
      <c r="K208" s="74">
        <v>0</v>
      </c>
      <c r="L208" s="74">
        <v>0</v>
      </c>
      <c r="M208" s="74">
        <v>0</v>
      </c>
      <c r="N208" s="74">
        <v>0</v>
      </c>
      <c r="O208" s="61">
        <f t="shared" ref="O208:Q208" si="1136">AA208+AD208+AG208+AJ208+AM208+AP208+AS208+AV208+AY208+BB208+BE208+BH208</f>
        <v>0</v>
      </c>
      <c r="P208" s="61">
        <f t="shared" si="1136"/>
        <v>0</v>
      </c>
      <c r="Q208" s="61">
        <f t="shared" si="1136"/>
        <v>0</v>
      </c>
      <c r="R208" s="61">
        <f t="shared" ref="R208:T208" si="1137">IF(BK208=0,SUM(AA208+AD208+AG208+AJ208+AM208+AP208+AS208+AV208+AY208+BB208+BE208+BH208),BK208)</f>
        <v>0</v>
      </c>
      <c r="S208" s="61">
        <f t="shared" si="1137"/>
        <v>0</v>
      </c>
      <c r="T208" s="61">
        <f t="shared" si="1137"/>
        <v>0</v>
      </c>
      <c r="U208" s="63">
        <f t="shared" ref="U208:U226" si="1138">K208-O208</f>
        <v>0</v>
      </c>
      <c r="V208" s="63">
        <f t="shared" ref="V208:V226" si="1139">L208-M208-S208</f>
        <v>0</v>
      </c>
      <c r="W208" s="63">
        <f t="shared" ref="W208:W226" si="1140">N208-Q208</f>
        <v>0</v>
      </c>
      <c r="X208" s="64">
        <f t="shared" ref="X208:Y208" si="1141">IF(O208&gt;0,O208/K208,0)</f>
        <v>0</v>
      </c>
      <c r="Y208" s="64">
        <f t="shared" si="1141"/>
        <v>0</v>
      </c>
      <c r="Z208" s="64">
        <f t="shared" si="1014"/>
        <v>0</v>
      </c>
      <c r="AA208" s="65"/>
      <c r="AB208" s="65"/>
      <c r="AC208" s="65"/>
      <c r="AD208" s="65"/>
      <c r="AE208" s="66"/>
      <c r="AF208" s="66"/>
      <c r="AG208" s="66"/>
      <c r="AH208" s="66"/>
      <c r="AI208" s="65"/>
      <c r="AJ208" s="65"/>
      <c r="AK208" s="65"/>
      <c r="AL208" s="65"/>
      <c r="AM208" s="65"/>
      <c r="AN208" s="65"/>
      <c r="AO208" s="65"/>
      <c r="AP208" s="65"/>
      <c r="AQ208" s="65"/>
      <c r="AR208" s="65"/>
      <c r="AS208" s="65"/>
      <c r="AT208" s="65"/>
      <c r="AU208" s="65"/>
      <c r="AV208" s="65"/>
      <c r="AW208" s="65"/>
      <c r="AX208" s="65"/>
      <c r="AY208" s="65"/>
      <c r="AZ208" s="65"/>
      <c r="BA208" s="65"/>
      <c r="BB208" s="65"/>
      <c r="BC208" s="65"/>
      <c r="BD208" s="65"/>
      <c r="BE208" s="65"/>
      <c r="BF208" s="65"/>
      <c r="BG208" s="65"/>
      <c r="BH208" s="237"/>
      <c r="BI208" s="237"/>
      <c r="BJ208" s="237"/>
      <c r="BK208" s="65">
        <v>0</v>
      </c>
      <c r="BL208" s="65">
        <v>0</v>
      </c>
      <c r="BM208" s="65">
        <v>0</v>
      </c>
      <c r="BN208" s="65">
        <f t="shared" ref="BN208:BN226" si="1142">IF(O208-BK208&gt;0,O208-BK208,0)</f>
        <v>0</v>
      </c>
      <c r="BO208" s="67">
        <f t="shared" ref="BO208:BO226" si="1143">IF(Q208-BM208&gt;0,Q208-BM208,0)</f>
        <v>0</v>
      </c>
      <c r="BP208" s="65">
        <f t="shared" ref="BP208:BP226" si="1144">IF(BN208+BO208&gt;0,BN208+BO208,0)</f>
        <v>0</v>
      </c>
      <c r="BQ208" s="65">
        <f t="shared" ref="BQ208:BQ226" si="1145">IF(U208=0,0,U208)</f>
        <v>0</v>
      </c>
      <c r="BR208" s="65">
        <f t="shared" ref="BR208:BR226" si="1146">IF(W208=0,0,W208)</f>
        <v>0</v>
      </c>
      <c r="BS208" s="65">
        <f t="shared" ref="BS208:BS226" si="1147">IF(BQ208+BR208&gt;0,BQ208+BR208,0)</f>
        <v>0</v>
      </c>
      <c r="BT208" s="65">
        <f t="shared" ref="BT208:BT226" si="1148">IF(V208&gt;0,V208,0)</f>
        <v>0</v>
      </c>
      <c r="BU208" s="65">
        <f t="shared" ref="BU208:BU226" si="1149">IF(BP208=0,0,BP208)</f>
        <v>0</v>
      </c>
      <c r="BV208" s="65">
        <f t="shared" ref="BV208:BV226" si="1150">IF(BS208=0,0,BS208)</f>
        <v>0</v>
      </c>
      <c r="BW208" s="65">
        <f t="shared" ref="BW208:BW226" si="1151">IF(BP208+BT208+BV208&gt;0,BP208+BT208+BV208,0)</f>
        <v>0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</row>
    <row r="209" spans="1:85" ht="15.75" customHeight="1">
      <c r="A209" s="68"/>
      <c r="B209" s="103"/>
      <c r="C209" s="68" t="s">
        <v>350</v>
      </c>
      <c r="D209" s="70" t="s">
        <v>352</v>
      </c>
      <c r="E209" s="57">
        <v>0</v>
      </c>
      <c r="F209" s="57">
        <v>0</v>
      </c>
      <c r="G209" s="58">
        <f t="shared" si="1135"/>
        <v>0</v>
      </c>
      <c r="H209" s="57">
        <v>0</v>
      </c>
      <c r="I209" s="59">
        <f t="shared" si="732"/>
        <v>0</v>
      </c>
      <c r="J209" s="59">
        <f t="shared" si="733"/>
        <v>0</v>
      </c>
      <c r="K209" s="74">
        <v>0</v>
      </c>
      <c r="L209" s="74">
        <v>0</v>
      </c>
      <c r="M209" s="74">
        <v>0</v>
      </c>
      <c r="N209" s="74">
        <v>0</v>
      </c>
      <c r="O209" s="61">
        <f t="shared" ref="O209:Q209" si="1152">AA209+AD209+AG209+AJ209+AM209+AP209+AS209+AV209+AY209+BB209+BE209+BH209</f>
        <v>0</v>
      </c>
      <c r="P209" s="61">
        <f t="shared" si="1152"/>
        <v>0</v>
      </c>
      <c r="Q209" s="61">
        <f t="shared" si="1152"/>
        <v>0</v>
      </c>
      <c r="R209" s="61">
        <f t="shared" ref="R209:T209" si="1153">IF(BK209=0,SUM(AA209+AD209+AG209+AJ209+AM209+AP209+AS209+AV209+AY209+BB209+BE209+BH209),BK209)</f>
        <v>0</v>
      </c>
      <c r="S209" s="61">
        <f t="shared" si="1153"/>
        <v>0</v>
      </c>
      <c r="T209" s="61">
        <f t="shared" si="1153"/>
        <v>0</v>
      </c>
      <c r="U209" s="63">
        <f t="shared" si="1138"/>
        <v>0</v>
      </c>
      <c r="V209" s="63">
        <f t="shared" si="1139"/>
        <v>0</v>
      </c>
      <c r="W209" s="63">
        <f t="shared" si="1140"/>
        <v>0</v>
      </c>
      <c r="X209" s="64">
        <f t="shared" ref="X209:Y209" si="1154">IF(O209&gt;0,O209/K209,0)</f>
        <v>0</v>
      </c>
      <c r="Y209" s="64">
        <f t="shared" si="1154"/>
        <v>0</v>
      </c>
      <c r="Z209" s="64">
        <f t="shared" si="1014"/>
        <v>0</v>
      </c>
      <c r="AA209" s="65"/>
      <c r="AB209" s="65"/>
      <c r="AC209" s="65"/>
      <c r="AD209" s="65"/>
      <c r="AE209" s="66"/>
      <c r="AF209" s="66"/>
      <c r="AG209" s="66"/>
      <c r="AH209" s="66"/>
      <c r="AI209" s="65"/>
      <c r="AJ209" s="65"/>
      <c r="AK209" s="65"/>
      <c r="AL209" s="65"/>
      <c r="AM209" s="65"/>
      <c r="AN209" s="65"/>
      <c r="AO209" s="65"/>
      <c r="AP209" s="65"/>
      <c r="AQ209" s="65"/>
      <c r="AR209" s="65"/>
      <c r="AS209" s="65"/>
      <c r="AT209" s="65"/>
      <c r="AU209" s="65"/>
      <c r="AV209" s="65"/>
      <c r="AW209" s="65"/>
      <c r="AX209" s="65"/>
      <c r="AY209" s="65"/>
      <c r="AZ209" s="65"/>
      <c r="BA209" s="65"/>
      <c r="BB209" s="65"/>
      <c r="BC209" s="65"/>
      <c r="BD209" s="65"/>
      <c r="BE209" s="65"/>
      <c r="BF209" s="65"/>
      <c r="BG209" s="65"/>
      <c r="BH209" s="237"/>
      <c r="BI209" s="237"/>
      <c r="BJ209" s="237"/>
      <c r="BK209" s="65">
        <v>0</v>
      </c>
      <c r="BL209" s="65">
        <v>0</v>
      </c>
      <c r="BM209" s="65">
        <v>0</v>
      </c>
      <c r="BN209" s="65">
        <f t="shared" si="1142"/>
        <v>0</v>
      </c>
      <c r="BO209" s="67">
        <f t="shared" si="1143"/>
        <v>0</v>
      </c>
      <c r="BP209" s="65">
        <f t="shared" si="1144"/>
        <v>0</v>
      </c>
      <c r="BQ209" s="65">
        <f t="shared" si="1145"/>
        <v>0</v>
      </c>
      <c r="BR209" s="65">
        <f t="shared" si="1146"/>
        <v>0</v>
      </c>
      <c r="BS209" s="65">
        <f t="shared" si="1147"/>
        <v>0</v>
      </c>
      <c r="BT209" s="65">
        <f t="shared" si="1148"/>
        <v>0</v>
      </c>
      <c r="BU209" s="65">
        <f t="shared" si="1149"/>
        <v>0</v>
      </c>
      <c r="BV209" s="65">
        <f t="shared" si="1150"/>
        <v>0</v>
      </c>
      <c r="BW209" s="65">
        <f t="shared" si="1151"/>
        <v>0</v>
      </c>
      <c r="BX209" s="6"/>
      <c r="BY209" s="6"/>
      <c r="BZ209" s="6"/>
      <c r="CA209" s="6"/>
      <c r="CB209" s="6"/>
      <c r="CC209" s="6"/>
      <c r="CD209" s="6"/>
      <c r="CE209" s="6"/>
      <c r="CF209" s="6"/>
      <c r="CG209" s="6"/>
    </row>
    <row r="210" spans="1:85" ht="15.75" customHeight="1">
      <c r="A210" s="68"/>
      <c r="B210" s="103"/>
      <c r="C210" s="68" t="s">
        <v>350</v>
      </c>
      <c r="D210" s="70" t="s">
        <v>353</v>
      </c>
      <c r="E210" s="57">
        <v>0</v>
      </c>
      <c r="F210" s="57">
        <v>0</v>
      </c>
      <c r="G210" s="58">
        <f t="shared" si="1135"/>
        <v>0</v>
      </c>
      <c r="H210" s="57">
        <v>0</v>
      </c>
      <c r="I210" s="59">
        <f t="shared" si="732"/>
        <v>0</v>
      </c>
      <c r="J210" s="59">
        <f t="shared" si="733"/>
        <v>0</v>
      </c>
      <c r="K210" s="74">
        <v>0</v>
      </c>
      <c r="L210" s="74">
        <v>0</v>
      </c>
      <c r="M210" s="74">
        <v>0</v>
      </c>
      <c r="N210" s="74">
        <v>0</v>
      </c>
      <c r="O210" s="61">
        <f t="shared" ref="O210:Q210" si="1155">AA210+AD210+AG210+AJ210+AM210+AP210+AS210+AV210+AY210+BB210+BE210+BH210</f>
        <v>0</v>
      </c>
      <c r="P210" s="61">
        <f t="shared" si="1155"/>
        <v>0</v>
      </c>
      <c r="Q210" s="61">
        <f t="shared" si="1155"/>
        <v>0</v>
      </c>
      <c r="R210" s="61">
        <f t="shared" ref="R210:T210" si="1156">IF(BK210=0,SUM(AA210+AD210+AG210+AJ210+AM210+AP210+AS210+AV210+AY210+BB210+BE210+BH210),BK210)</f>
        <v>0</v>
      </c>
      <c r="S210" s="61">
        <f t="shared" si="1156"/>
        <v>0</v>
      </c>
      <c r="T210" s="61">
        <f t="shared" si="1156"/>
        <v>0</v>
      </c>
      <c r="U210" s="63">
        <f t="shared" si="1138"/>
        <v>0</v>
      </c>
      <c r="V210" s="63">
        <f t="shared" si="1139"/>
        <v>0</v>
      </c>
      <c r="W210" s="63">
        <f t="shared" si="1140"/>
        <v>0</v>
      </c>
      <c r="X210" s="64">
        <f t="shared" ref="X210:Y210" si="1157">IF(O210&gt;0,O210/K210,0)</f>
        <v>0</v>
      </c>
      <c r="Y210" s="64">
        <f t="shared" si="1157"/>
        <v>0</v>
      </c>
      <c r="Z210" s="64">
        <f t="shared" si="1014"/>
        <v>0</v>
      </c>
      <c r="AA210" s="65"/>
      <c r="AB210" s="65"/>
      <c r="AC210" s="65"/>
      <c r="AD210" s="65"/>
      <c r="AE210" s="66"/>
      <c r="AF210" s="66"/>
      <c r="AG210" s="66"/>
      <c r="AH210" s="66"/>
      <c r="AI210" s="65"/>
      <c r="AJ210" s="65"/>
      <c r="AK210" s="65"/>
      <c r="AL210" s="65"/>
      <c r="AM210" s="65"/>
      <c r="AN210" s="65"/>
      <c r="AO210" s="65"/>
      <c r="AP210" s="65"/>
      <c r="AQ210" s="65"/>
      <c r="AR210" s="65"/>
      <c r="AS210" s="65"/>
      <c r="AT210" s="65"/>
      <c r="AU210" s="65"/>
      <c r="AV210" s="65"/>
      <c r="AW210" s="65"/>
      <c r="AX210" s="65"/>
      <c r="AY210" s="65"/>
      <c r="AZ210" s="65"/>
      <c r="BA210" s="65"/>
      <c r="BB210" s="65"/>
      <c r="BC210" s="65"/>
      <c r="BD210" s="65"/>
      <c r="BE210" s="65"/>
      <c r="BF210" s="65"/>
      <c r="BG210" s="65"/>
      <c r="BH210" s="237"/>
      <c r="BI210" s="237"/>
      <c r="BJ210" s="237"/>
      <c r="BK210" s="65">
        <v>0</v>
      </c>
      <c r="BL210" s="65">
        <v>0</v>
      </c>
      <c r="BM210" s="65">
        <v>0</v>
      </c>
      <c r="BN210" s="65">
        <f t="shared" si="1142"/>
        <v>0</v>
      </c>
      <c r="BO210" s="67">
        <f t="shared" si="1143"/>
        <v>0</v>
      </c>
      <c r="BP210" s="65">
        <f t="shared" si="1144"/>
        <v>0</v>
      </c>
      <c r="BQ210" s="65">
        <f t="shared" si="1145"/>
        <v>0</v>
      </c>
      <c r="BR210" s="65">
        <f t="shared" si="1146"/>
        <v>0</v>
      </c>
      <c r="BS210" s="65">
        <f t="shared" si="1147"/>
        <v>0</v>
      </c>
      <c r="BT210" s="65">
        <f t="shared" si="1148"/>
        <v>0</v>
      </c>
      <c r="BU210" s="65">
        <f t="shared" si="1149"/>
        <v>0</v>
      </c>
      <c r="BV210" s="65">
        <f t="shared" si="1150"/>
        <v>0</v>
      </c>
      <c r="BW210" s="65">
        <f t="shared" si="1151"/>
        <v>0</v>
      </c>
      <c r="BX210" s="6"/>
      <c r="BY210" s="6"/>
      <c r="BZ210" s="6"/>
      <c r="CA210" s="6"/>
      <c r="CB210" s="6"/>
      <c r="CC210" s="6"/>
      <c r="CD210" s="6"/>
      <c r="CE210" s="6"/>
      <c r="CF210" s="6"/>
      <c r="CG210" s="6"/>
    </row>
    <row r="211" spans="1:85" ht="15.75" customHeight="1">
      <c r="A211" s="68"/>
      <c r="B211" s="103"/>
      <c r="C211" s="68" t="s">
        <v>350</v>
      </c>
      <c r="D211" s="70" t="s">
        <v>354</v>
      </c>
      <c r="E211" s="57">
        <v>0</v>
      </c>
      <c r="F211" s="57">
        <v>0</v>
      </c>
      <c r="G211" s="58">
        <f t="shared" si="1135"/>
        <v>0</v>
      </c>
      <c r="H211" s="57">
        <v>0</v>
      </c>
      <c r="I211" s="59">
        <f t="shared" si="732"/>
        <v>0</v>
      </c>
      <c r="J211" s="59">
        <f t="shared" si="733"/>
        <v>0</v>
      </c>
      <c r="K211" s="74">
        <v>0</v>
      </c>
      <c r="L211" s="74">
        <v>0</v>
      </c>
      <c r="M211" s="74">
        <v>0</v>
      </c>
      <c r="N211" s="74">
        <v>0</v>
      </c>
      <c r="O211" s="61">
        <f t="shared" ref="O211:Q211" si="1158">AA211+AD211+AG211+AJ211+AM211+AP211+AS211+AV211+AY211+BB211+BE211+BH211</f>
        <v>0</v>
      </c>
      <c r="P211" s="61">
        <f t="shared" si="1158"/>
        <v>0</v>
      </c>
      <c r="Q211" s="61">
        <f t="shared" si="1158"/>
        <v>0</v>
      </c>
      <c r="R211" s="61">
        <f t="shared" ref="R211:T211" si="1159">IF(BK211=0,SUM(AA211+AD211+AG211+AJ211+AM211+AP211+AS211+AV211+AY211+BB211+BE211+BH211),BK211)</f>
        <v>0</v>
      </c>
      <c r="S211" s="61">
        <f t="shared" si="1159"/>
        <v>0</v>
      </c>
      <c r="T211" s="61">
        <f t="shared" si="1159"/>
        <v>0</v>
      </c>
      <c r="U211" s="63">
        <f t="shared" si="1138"/>
        <v>0</v>
      </c>
      <c r="V211" s="63">
        <f t="shared" si="1139"/>
        <v>0</v>
      </c>
      <c r="W211" s="63">
        <f t="shared" si="1140"/>
        <v>0</v>
      </c>
      <c r="X211" s="64">
        <f t="shared" ref="X211:Y211" si="1160">IF(O211&gt;0,O211/K211,0)</f>
        <v>0</v>
      </c>
      <c r="Y211" s="64">
        <f t="shared" si="1160"/>
        <v>0</v>
      </c>
      <c r="Z211" s="64">
        <f t="shared" si="1014"/>
        <v>0</v>
      </c>
      <c r="AA211" s="65"/>
      <c r="AB211" s="65"/>
      <c r="AC211" s="65"/>
      <c r="AD211" s="65"/>
      <c r="AE211" s="66"/>
      <c r="AF211" s="66"/>
      <c r="AG211" s="66"/>
      <c r="AH211" s="66"/>
      <c r="AI211" s="65"/>
      <c r="AJ211" s="65"/>
      <c r="AK211" s="65"/>
      <c r="AL211" s="65"/>
      <c r="AM211" s="65"/>
      <c r="AN211" s="65"/>
      <c r="AO211" s="65"/>
      <c r="AP211" s="65"/>
      <c r="AQ211" s="65"/>
      <c r="AR211" s="65"/>
      <c r="AS211" s="65"/>
      <c r="AT211" s="65"/>
      <c r="AU211" s="65"/>
      <c r="AV211" s="65"/>
      <c r="AW211" s="65"/>
      <c r="AX211" s="65"/>
      <c r="AY211" s="65"/>
      <c r="AZ211" s="65"/>
      <c r="BA211" s="65"/>
      <c r="BB211" s="65"/>
      <c r="BC211" s="65"/>
      <c r="BD211" s="65"/>
      <c r="BE211" s="65"/>
      <c r="BF211" s="65"/>
      <c r="BG211" s="65"/>
      <c r="BH211" s="237"/>
      <c r="BI211" s="237"/>
      <c r="BJ211" s="237"/>
      <c r="BK211" s="65">
        <v>0</v>
      </c>
      <c r="BL211" s="65">
        <v>0</v>
      </c>
      <c r="BM211" s="65">
        <v>0</v>
      </c>
      <c r="BN211" s="65">
        <f t="shared" si="1142"/>
        <v>0</v>
      </c>
      <c r="BO211" s="67">
        <f t="shared" si="1143"/>
        <v>0</v>
      </c>
      <c r="BP211" s="65">
        <f t="shared" si="1144"/>
        <v>0</v>
      </c>
      <c r="BQ211" s="65">
        <f t="shared" si="1145"/>
        <v>0</v>
      </c>
      <c r="BR211" s="65">
        <f t="shared" si="1146"/>
        <v>0</v>
      </c>
      <c r="BS211" s="65">
        <f t="shared" si="1147"/>
        <v>0</v>
      </c>
      <c r="BT211" s="65">
        <f t="shared" si="1148"/>
        <v>0</v>
      </c>
      <c r="BU211" s="65">
        <f t="shared" si="1149"/>
        <v>0</v>
      </c>
      <c r="BV211" s="65">
        <f t="shared" si="1150"/>
        <v>0</v>
      </c>
      <c r="BW211" s="65">
        <f t="shared" si="1151"/>
        <v>0</v>
      </c>
      <c r="BX211" s="6"/>
      <c r="BY211" s="6"/>
      <c r="BZ211" s="6"/>
      <c r="CA211" s="6"/>
      <c r="CB211" s="6"/>
      <c r="CC211" s="6"/>
      <c r="CD211" s="6"/>
      <c r="CE211" s="6"/>
      <c r="CF211" s="6"/>
      <c r="CG211" s="6"/>
    </row>
    <row r="212" spans="1:85" ht="15.75" customHeight="1">
      <c r="A212" s="68"/>
      <c r="B212" s="103"/>
      <c r="C212" s="68" t="s">
        <v>350</v>
      </c>
      <c r="D212" s="70" t="s">
        <v>355</v>
      </c>
      <c r="E212" s="57">
        <v>0</v>
      </c>
      <c r="F212" s="57">
        <v>0</v>
      </c>
      <c r="G212" s="58">
        <f t="shared" si="1135"/>
        <v>0</v>
      </c>
      <c r="H212" s="57">
        <v>0</v>
      </c>
      <c r="I212" s="59">
        <f t="shared" si="732"/>
        <v>0</v>
      </c>
      <c r="J212" s="59">
        <f t="shared" si="733"/>
        <v>0</v>
      </c>
      <c r="K212" s="74">
        <v>0</v>
      </c>
      <c r="L212" s="74">
        <v>0</v>
      </c>
      <c r="M212" s="74">
        <v>0</v>
      </c>
      <c r="N212" s="74">
        <v>0</v>
      </c>
      <c r="O212" s="61">
        <f t="shared" ref="O212:Q212" si="1161">AA212+AD212+AG212+AJ212+AM212+AP212+AS212+AV212+AY212+BB212+BE212+BH212</f>
        <v>0</v>
      </c>
      <c r="P212" s="61">
        <f t="shared" si="1161"/>
        <v>0</v>
      </c>
      <c r="Q212" s="61">
        <f t="shared" si="1161"/>
        <v>0</v>
      </c>
      <c r="R212" s="61">
        <f t="shared" ref="R212:T212" si="1162">IF(BK212=0,SUM(AA212+AD212+AG212+AJ212+AM212+AP212+AS212+AV212+AY212+BB212+BE212+BH212),BK212)</f>
        <v>0</v>
      </c>
      <c r="S212" s="61">
        <f t="shared" si="1162"/>
        <v>0</v>
      </c>
      <c r="T212" s="61">
        <f t="shared" si="1162"/>
        <v>0</v>
      </c>
      <c r="U212" s="63">
        <f t="shared" si="1138"/>
        <v>0</v>
      </c>
      <c r="V212" s="63">
        <f t="shared" si="1139"/>
        <v>0</v>
      </c>
      <c r="W212" s="63">
        <f t="shared" si="1140"/>
        <v>0</v>
      </c>
      <c r="X212" s="64">
        <f t="shared" ref="X212:Y212" si="1163">IF(O212&gt;0,O212/K212,0)</f>
        <v>0</v>
      </c>
      <c r="Y212" s="64">
        <f t="shared" si="1163"/>
        <v>0</v>
      </c>
      <c r="Z212" s="64">
        <f t="shared" si="1014"/>
        <v>0</v>
      </c>
      <c r="AA212" s="65"/>
      <c r="AB212" s="65"/>
      <c r="AC212" s="65"/>
      <c r="AD212" s="65"/>
      <c r="AE212" s="66"/>
      <c r="AF212" s="66"/>
      <c r="AG212" s="66"/>
      <c r="AH212" s="66"/>
      <c r="AI212" s="65"/>
      <c r="AJ212" s="65"/>
      <c r="AK212" s="65"/>
      <c r="AL212" s="65"/>
      <c r="AM212" s="65"/>
      <c r="AN212" s="65"/>
      <c r="AO212" s="65"/>
      <c r="AP212" s="65"/>
      <c r="AQ212" s="65"/>
      <c r="AR212" s="65"/>
      <c r="AS212" s="65"/>
      <c r="AT212" s="65"/>
      <c r="AU212" s="65"/>
      <c r="AV212" s="65"/>
      <c r="AW212" s="65"/>
      <c r="AX212" s="65"/>
      <c r="AY212" s="65"/>
      <c r="AZ212" s="65"/>
      <c r="BA212" s="65"/>
      <c r="BB212" s="65"/>
      <c r="BC212" s="65"/>
      <c r="BD212" s="65"/>
      <c r="BE212" s="65"/>
      <c r="BF212" s="65"/>
      <c r="BG212" s="65"/>
      <c r="BH212" s="237"/>
      <c r="BI212" s="237"/>
      <c r="BJ212" s="237"/>
      <c r="BK212" s="65">
        <v>0</v>
      </c>
      <c r="BL212" s="65">
        <v>0</v>
      </c>
      <c r="BM212" s="65">
        <v>0</v>
      </c>
      <c r="BN212" s="65">
        <f t="shared" si="1142"/>
        <v>0</v>
      </c>
      <c r="BO212" s="67">
        <f t="shared" si="1143"/>
        <v>0</v>
      </c>
      <c r="BP212" s="65">
        <f t="shared" si="1144"/>
        <v>0</v>
      </c>
      <c r="BQ212" s="65">
        <f t="shared" si="1145"/>
        <v>0</v>
      </c>
      <c r="BR212" s="65">
        <f t="shared" si="1146"/>
        <v>0</v>
      </c>
      <c r="BS212" s="65">
        <f t="shared" si="1147"/>
        <v>0</v>
      </c>
      <c r="BT212" s="65">
        <f t="shared" si="1148"/>
        <v>0</v>
      </c>
      <c r="BU212" s="65">
        <f t="shared" si="1149"/>
        <v>0</v>
      </c>
      <c r="BV212" s="65">
        <f t="shared" si="1150"/>
        <v>0</v>
      </c>
      <c r="BW212" s="65">
        <f t="shared" si="1151"/>
        <v>0</v>
      </c>
      <c r="BX212" s="6"/>
      <c r="BY212" s="6"/>
      <c r="BZ212" s="6"/>
      <c r="CA212" s="6"/>
      <c r="CB212" s="6"/>
      <c r="CC212" s="6"/>
      <c r="CD212" s="6"/>
      <c r="CE212" s="6"/>
      <c r="CF212" s="6"/>
      <c r="CG212" s="6"/>
    </row>
    <row r="213" spans="1:85" ht="15.75" customHeight="1">
      <c r="A213" s="68"/>
      <c r="B213" s="103"/>
      <c r="C213" s="68" t="s">
        <v>350</v>
      </c>
      <c r="D213" s="70" t="s">
        <v>354</v>
      </c>
      <c r="E213" s="57">
        <v>0</v>
      </c>
      <c r="F213" s="57">
        <v>0</v>
      </c>
      <c r="G213" s="58">
        <f t="shared" si="1135"/>
        <v>0</v>
      </c>
      <c r="H213" s="57">
        <v>0</v>
      </c>
      <c r="I213" s="59">
        <f t="shared" si="732"/>
        <v>0</v>
      </c>
      <c r="J213" s="59">
        <f t="shared" si="733"/>
        <v>0</v>
      </c>
      <c r="K213" s="74">
        <v>0</v>
      </c>
      <c r="L213" s="74">
        <v>0</v>
      </c>
      <c r="M213" s="74">
        <v>0</v>
      </c>
      <c r="N213" s="74">
        <v>0</v>
      </c>
      <c r="O213" s="61">
        <f t="shared" ref="O213:Q213" si="1164">AA213+AD213+AG213+AJ213+AM213+AP213+AS213+AV213+AY213+BB213+BE213+BH213</f>
        <v>0</v>
      </c>
      <c r="P213" s="61">
        <f t="shared" si="1164"/>
        <v>0</v>
      </c>
      <c r="Q213" s="61">
        <f t="shared" si="1164"/>
        <v>0</v>
      </c>
      <c r="R213" s="61">
        <f t="shared" ref="R213:T213" si="1165">IF(BK213=0,SUM(AA213+AD213+AG213+AJ213+AM213+AP213+AS213+AV213+AY213+BB213+BE213+BH213),BK213)</f>
        <v>0</v>
      </c>
      <c r="S213" s="61">
        <f t="shared" si="1165"/>
        <v>0</v>
      </c>
      <c r="T213" s="61">
        <f t="shared" si="1165"/>
        <v>0</v>
      </c>
      <c r="U213" s="63">
        <f t="shared" si="1138"/>
        <v>0</v>
      </c>
      <c r="V213" s="63">
        <f t="shared" si="1139"/>
        <v>0</v>
      </c>
      <c r="W213" s="63">
        <f t="shared" si="1140"/>
        <v>0</v>
      </c>
      <c r="X213" s="64">
        <f t="shared" ref="X213:Y213" si="1166">IF(O213&gt;0,O213/K213,0)</f>
        <v>0</v>
      </c>
      <c r="Y213" s="64">
        <f t="shared" si="1166"/>
        <v>0</v>
      </c>
      <c r="Z213" s="64">
        <f t="shared" si="1014"/>
        <v>0</v>
      </c>
      <c r="AA213" s="65"/>
      <c r="AB213" s="65"/>
      <c r="AC213" s="65"/>
      <c r="AD213" s="65"/>
      <c r="AE213" s="66"/>
      <c r="AF213" s="66"/>
      <c r="AG213" s="66"/>
      <c r="AH213" s="66"/>
      <c r="AI213" s="65"/>
      <c r="AJ213" s="65"/>
      <c r="AK213" s="65"/>
      <c r="AL213" s="65"/>
      <c r="AM213" s="65"/>
      <c r="AN213" s="65"/>
      <c r="AO213" s="65"/>
      <c r="AP213" s="65"/>
      <c r="AQ213" s="65"/>
      <c r="AR213" s="65"/>
      <c r="AS213" s="65"/>
      <c r="AT213" s="65"/>
      <c r="AU213" s="65"/>
      <c r="AV213" s="65"/>
      <c r="AW213" s="65"/>
      <c r="AX213" s="65"/>
      <c r="AY213" s="65"/>
      <c r="AZ213" s="65"/>
      <c r="BA213" s="65"/>
      <c r="BB213" s="65"/>
      <c r="BC213" s="65"/>
      <c r="BD213" s="65"/>
      <c r="BE213" s="65"/>
      <c r="BF213" s="65"/>
      <c r="BG213" s="65"/>
      <c r="BH213" s="237"/>
      <c r="BI213" s="237"/>
      <c r="BJ213" s="237"/>
      <c r="BK213" s="65">
        <v>0</v>
      </c>
      <c r="BL213" s="65">
        <v>0</v>
      </c>
      <c r="BM213" s="65">
        <v>0</v>
      </c>
      <c r="BN213" s="65">
        <f t="shared" si="1142"/>
        <v>0</v>
      </c>
      <c r="BO213" s="67">
        <f t="shared" si="1143"/>
        <v>0</v>
      </c>
      <c r="BP213" s="65">
        <f t="shared" si="1144"/>
        <v>0</v>
      </c>
      <c r="BQ213" s="65">
        <f t="shared" si="1145"/>
        <v>0</v>
      </c>
      <c r="BR213" s="65">
        <f t="shared" si="1146"/>
        <v>0</v>
      </c>
      <c r="BS213" s="65">
        <f t="shared" si="1147"/>
        <v>0</v>
      </c>
      <c r="BT213" s="65">
        <f t="shared" si="1148"/>
        <v>0</v>
      </c>
      <c r="BU213" s="65">
        <f t="shared" si="1149"/>
        <v>0</v>
      </c>
      <c r="BV213" s="65">
        <f t="shared" si="1150"/>
        <v>0</v>
      </c>
      <c r="BW213" s="65">
        <f t="shared" si="1151"/>
        <v>0</v>
      </c>
      <c r="BX213" s="6"/>
      <c r="BY213" s="6"/>
      <c r="BZ213" s="6"/>
      <c r="CA213" s="6"/>
      <c r="CB213" s="6"/>
      <c r="CC213" s="6"/>
      <c r="CD213" s="6"/>
      <c r="CE213" s="6"/>
      <c r="CF213" s="6"/>
      <c r="CG213" s="6"/>
    </row>
    <row r="214" spans="1:85" ht="15.75" customHeight="1">
      <c r="A214" s="68"/>
      <c r="B214" s="103"/>
      <c r="C214" s="68" t="s">
        <v>350</v>
      </c>
      <c r="D214" s="70" t="s">
        <v>356</v>
      </c>
      <c r="E214" s="57">
        <v>0</v>
      </c>
      <c r="F214" s="57">
        <v>0</v>
      </c>
      <c r="G214" s="58">
        <f t="shared" si="1135"/>
        <v>0</v>
      </c>
      <c r="H214" s="57">
        <v>0</v>
      </c>
      <c r="I214" s="59">
        <f t="shared" si="732"/>
        <v>0</v>
      </c>
      <c r="J214" s="59">
        <f t="shared" si="733"/>
        <v>0</v>
      </c>
      <c r="K214" s="74">
        <v>0</v>
      </c>
      <c r="L214" s="74">
        <v>0</v>
      </c>
      <c r="M214" s="74">
        <v>0</v>
      </c>
      <c r="N214" s="74">
        <v>0</v>
      </c>
      <c r="O214" s="61">
        <f t="shared" ref="O214:Q214" si="1167">AA214+AD214+AG214+AJ214+AM214+AP214+AS214+AV214+AY214+BB214+BE214+BH214</f>
        <v>0</v>
      </c>
      <c r="P214" s="61">
        <f t="shared" si="1167"/>
        <v>0</v>
      </c>
      <c r="Q214" s="61">
        <f t="shared" si="1167"/>
        <v>0</v>
      </c>
      <c r="R214" s="61">
        <f t="shared" ref="R214:T214" si="1168">IF(BK214=0,SUM(AA214+AD214+AG214+AJ214+AM214+AP214+AS214+AV214+AY214+BB214+BE214+BH214),BK214)</f>
        <v>0</v>
      </c>
      <c r="S214" s="61">
        <f t="shared" si="1168"/>
        <v>0</v>
      </c>
      <c r="T214" s="61">
        <f t="shared" si="1168"/>
        <v>0</v>
      </c>
      <c r="U214" s="63">
        <f t="shared" si="1138"/>
        <v>0</v>
      </c>
      <c r="V214" s="63">
        <f t="shared" si="1139"/>
        <v>0</v>
      </c>
      <c r="W214" s="63">
        <f t="shared" si="1140"/>
        <v>0</v>
      </c>
      <c r="X214" s="64">
        <f t="shared" ref="X214:Y214" si="1169">IF(O214&gt;0,O214/K214,0)</f>
        <v>0</v>
      </c>
      <c r="Y214" s="64">
        <f t="shared" si="1169"/>
        <v>0</v>
      </c>
      <c r="Z214" s="64">
        <f t="shared" si="1014"/>
        <v>0</v>
      </c>
      <c r="AA214" s="65"/>
      <c r="AB214" s="65"/>
      <c r="AC214" s="65"/>
      <c r="AD214" s="65"/>
      <c r="AE214" s="66"/>
      <c r="AF214" s="66"/>
      <c r="AG214" s="66"/>
      <c r="AH214" s="66"/>
      <c r="AI214" s="65"/>
      <c r="AJ214" s="65"/>
      <c r="AK214" s="65"/>
      <c r="AL214" s="65"/>
      <c r="AM214" s="65"/>
      <c r="AN214" s="65"/>
      <c r="AO214" s="65"/>
      <c r="AP214" s="65"/>
      <c r="AQ214" s="65"/>
      <c r="AR214" s="65"/>
      <c r="AS214" s="65"/>
      <c r="AT214" s="65"/>
      <c r="AU214" s="65"/>
      <c r="AV214" s="65"/>
      <c r="AW214" s="65"/>
      <c r="AX214" s="65"/>
      <c r="AY214" s="65"/>
      <c r="AZ214" s="65"/>
      <c r="BA214" s="65"/>
      <c r="BB214" s="65"/>
      <c r="BC214" s="65"/>
      <c r="BD214" s="65"/>
      <c r="BE214" s="65"/>
      <c r="BF214" s="65"/>
      <c r="BG214" s="65"/>
      <c r="BH214" s="237"/>
      <c r="BI214" s="237"/>
      <c r="BJ214" s="237"/>
      <c r="BK214" s="65">
        <v>0</v>
      </c>
      <c r="BL214" s="65">
        <v>0</v>
      </c>
      <c r="BM214" s="65">
        <v>0</v>
      </c>
      <c r="BN214" s="65">
        <f t="shared" si="1142"/>
        <v>0</v>
      </c>
      <c r="BO214" s="67">
        <f t="shared" si="1143"/>
        <v>0</v>
      </c>
      <c r="BP214" s="65">
        <f t="shared" si="1144"/>
        <v>0</v>
      </c>
      <c r="BQ214" s="65">
        <f t="shared" si="1145"/>
        <v>0</v>
      </c>
      <c r="BR214" s="65">
        <f t="shared" si="1146"/>
        <v>0</v>
      </c>
      <c r="BS214" s="65">
        <f t="shared" si="1147"/>
        <v>0</v>
      </c>
      <c r="BT214" s="65">
        <f t="shared" si="1148"/>
        <v>0</v>
      </c>
      <c r="BU214" s="65">
        <f t="shared" si="1149"/>
        <v>0</v>
      </c>
      <c r="BV214" s="65">
        <f t="shared" si="1150"/>
        <v>0</v>
      </c>
      <c r="BW214" s="65">
        <f t="shared" si="1151"/>
        <v>0</v>
      </c>
      <c r="BX214" s="6"/>
      <c r="BY214" s="6"/>
      <c r="BZ214" s="6"/>
      <c r="CA214" s="6"/>
      <c r="CB214" s="6"/>
      <c r="CC214" s="6"/>
      <c r="CD214" s="6"/>
      <c r="CE214" s="6"/>
      <c r="CF214" s="6"/>
      <c r="CG214" s="6"/>
    </row>
    <row r="215" spans="1:85" ht="15.75" customHeight="1">
      <c r="A215" s="68"/>
      <c r="B215" s="103"/>
      <c r="C215" s="68" t="s">
        <v>350</v>
      </c>
      <c r="D215" s="70" t="s">
        <v>357</v>
      </c>
      <c r="E215" s="57">
        <v>0</v>
      </c>
      <c r="F215" s="57">
        <v>0</v>
      </c>
      <c r="G215" s="58">
        <f t="shared" si="1135"/>
        <v>0</v>
      </c>
      <c r="H215" s="57">
        <v>0</v>
      </c>
      <c r="I215" s="59">
        <f t="shared" si="732"/>
        <v>0</v>
      </c>
      <c r="J215" s="59">
        <f t="shared" si="733"/>
        <v>0</v>
      </c>
      <c r="K215" s="74">
        <v>0</v>
      </c>
      <c r="L215" s="74">
        <v>0</v>
      </c>
      <c r="M215" s="74">
        <v>0</v>
      </c>
      <c r="N215" s="74">
        <v>0</v>
      </c>
      <c r="O215" s="61">
        <f t="shared" ref="O215:Q215" si="1170">AA215+AD215+AG215+AJ215+AM215+AP215+AS215+AV215+AY215+BB215+BE215+BH215</f>
        <v>0</v>
      </c>
      <c r="P215" s="61">
        <f t="shared" si="1170"/>
        <v>0</v>
      </c>
      <c r="Q215" s="61">
        <f t="shared" si="1170"/>
        <v>0</v>
      </c>
      <c r="R215" s="61">
        <f t="shared" ref="R215:T215" si="1171">IF(BK215=0,SUM(AA215+AD215+AG215+AJ215+AM215+AP215+AS215+AV215+AY215+BB215+BE215+BH215),BK215)</f>
        <v>0</v>
      </c>
      <c r="S215" s="61">
        <f t="shared" si="1171"/>
        <v>0</v>
      </c>
      <c r="T215" s="61">
        <f t="shared" si="1171"/>
        <v>0</v>
      </c>
      <c r="U215" s="63">
        <f t="shared" si="1138"/>
        <v>0</v>
      </c>
      <c r="V215" s="63">
        <f t="shared" si="1139"/>
        <v>0</v>
      </c>
      <c r="W215" s="63">
        <f t="shared" si="1140"/>
        <v>0</v>
      </c>
      <c r="X215" s="64">
        <f t="shared" ref="X215:Y215" si="1172">IF(O215&gt;0,O215/K215,0)</f>
        <v>0</v>
      </c>
      <c r="Y215" s="64">
        <f t="shared" si="1172"/>
        <v>0</v>
      </c>
      <c r="Z215" s="64">
        <f t="shared" si="1014"/>
        <v>0</v>
      </c>
      <c r="AA215" s="65"/>
      <c r="AB215" s="65"/>
      <c r="AC215" s="65"/>
      <c r="AD215" s="65"/>
      <c r="AE215" s="66"/>
      <c r="AF215" s="66"/>
      <c r="AG215" s="66"/>
      <c r="AH215" s="66"/>
      <c r="AI215" s="65"/>
      <c r="AJ215" s="65"/>
      <c r="AK215" s="65"/>
      <c r="AL215" s="65"/>
      <c r="AM215" s="65"/>
      <c r="AN215" s="65"/>
      <c r="AO215" s="65"/>
      <c r="AP215" s="65"/>
      <c r="AQ215" s="65"/>
      <c r="AR215" s="65"/>
      <c r="AS215" s="65"/>
      <c r="AT215" s="65"/>
      <c r="AU215" s="65"/>
      <c r="AV215" s="65"/>
      <c r="AW215" s="65"/>
      <c r="AX215" s="65"/>
      <c r="AY215" s="65"/>
      <c r="AZ215" s="65"/>
      <c r="BA215" s="65"/>
      <c r="BB215" s="65"/>
      <c r="BC215" s="65"/>
      <c r="BD215" s="65"/>
      <c r="BE215" s="65"/>
      <c r="BF215" s="65"/>
      <c r="BG215" s="65"/>
      <c r="BH215" s="237"/>
      <c r="BI215" s="237"/>
      <c r="BJ215" s="237"/>
      <c r="BK215" s="65">
        <v>0</v>
      </c>
      <c r="BL215" s="65">
        <v>0</v>
      </c>
      <c r="BM215" s="65">
        <v>0</v>
      </c>
      <c r="BN215" s="65">
        <f t="shared" si="1142"/>
        <v>0</v>
      </c>
      <c r="BO215" s="67">
        <f t="shared" si="1143"/>
        <v>0</v>
      </c>
      <c r="BP215" s="65">
        <f t="shared" si="1144"/>
        <v>0</v>
      </c>
      <c r="BQ215" s="65">
        <f t="shared" si="1145"/>
        <v>0</v>
      </c>
      <c r="BR215" s="65">
        <f t="shared" si="1146"/>
        <v>0</v>
      </c>
      <c r="BS215" s="65">
        <f t="shared" si="1147"/>
        <v>0</v>
      </c>
      <c r="BT215" s="65">
        <f t="shared" si="1148"/>
        <v>0</v>
      </c>
      <c r="BU215" s="65">
        <f t="shared" si="1149"/>
        <v>0</v>
      </c>
      <c r="BV215" s="65">
        <f t="shared" si="1150"/>
        <v>0</v>
      </c>
      <c r="BW215" s="65">
        <f t="shared" si="1151"/>
        <v>0</v>
      </c>
      <c r="BX215" s="6"/>
      <c r="BY215" s="6"/>
      <c r="BZ215" s="6"/>
      <c r="CA215" s="6"/>
      <c r="CB215" s="6"/>
      <c r="CC215" s="6"/>
      <c r="CD215" s="6"/>
      <c r="CE215" s="6"/>
      <c r="CF215" s="6"/>
      <c r="CG215" s="6"/>
    </row>
    <row r="216" spans="1:85" ht="15.75" customHeight="1">
      <c r="A216" s="68"/>
      <c r="B216" s="103"/>
      <c r="C216" s="68" t="s">
        <v>350</v>
      </c>
      <c r="D216" s="70" t="s">
        <v>358</v>
      </c>
      <c r="E216" s="57">
        <v>0</v>
      </c>
      <c r="F216" s="57">
        <v>0</v>
      </c>
      <c r="G216" s="58">
        <f t="shared" si="1135"/>
        <v>0</v>
      </c>
      <c r="H216" s="57">
        <v>0</v>
      </c>
      <c r="I216" s="59">
        <f t="shared" si="732"/>
        <v>0</v>
      </c>
      <c r="J216" s="59">
        <f t="shared" si="733"/>
        <v>0</v>
      </c>
      <c r="K216" s="74">
        <v>0</v>
      </c>
      <c r="L216" s="74">
        <v>0</v>
      </c>
      <c r="M216" s="74">
        <v>0</v>
      </c>
      <c r="N216" s="74">
        <v>0</v>
      </c>
      <c r="O216" s="61">
        <f t="shared" ref="O216:Q216" si="1173">AA216+AD216+AG216+AJ216+AM216+AP216+AS216+AV216+AY216+BB216+BE216+BH216</f>
        <v>0</v>
      </c>
      <c r="P216" s="61">
        <f t="shared" si="1173"/>
        <v>0</v>
      </c>
      <c r="Q216" s="61">
        <f t="shared" si="1173"/>
        <v>0</v>
      </c>
      <c r="R216" s="61">
        <f t="shared" ref="R216:T216" si="1174">IF(BK216=0,SUM(AA216+AD216+AG216+AJ216+AM216+AP216+AS216+AV216+AY216+BB216+BE216+BH216),BK216)</f>
        <v>0</v>
      </c>
      <c r="S216" s="61">
        <f t="shared" si="1174"/>
        <v>0</v>
      </c>
      <c r="T216" s="61">
        <f t="shared" si="1174"/>
        <v>0</v>
      </c>
      <c r="U216" s="63">
        <f t="shared" si="1138"/>
        <v>0</v>
      </c>
      <c r="V216" s="63">
        <f t="shared" si="1139"/>
        <v>0</v>
      </c>
      <c r="W216" s="63">
        <f t="shared" si="1140"/>
        <v>0</v>
      </c>
      <c r="X216" s="64">
        <f t="shared" ref="X216:Y216" si="1175">IF(O216&gt;0,O216/K216,0)</f>
        <v>0</v>
      </c>
      <c r="Y216" s="64">
        <f t="shared" si="1175"/>
        <v>0</v>
      </c>
      <c r="Z216" s="64">
        <f t="shared" si="1014"/>
        <v>0</v>
      </c>
      <c r="AA216" s="65"/>
      <c r="AB216" s="65"/>
      <c r="AC216" s="65"/>
      <c r="AD216" s="65"/>
      <c r="AE216" s="66"/>
      <c r="AF216" s="66"/>
      <c r="AG216" s="66"/>
      <c r="AH216" s="66"/>
      <c r="AI216" s="65"/>
      <c r="AJ216" s="65"/>
      <c r="AK216" s="65"/>
      <c r="AL216" s="65"/>
      <c r="AM216" s="65"/>
      <c r="AN216" s="65"/>
      <c r="AO216" s="65"/>
      <c r="AP216" s="65"/>
      <c r="AQ216" s="65"/>
      <c r="AR216" s="65"/>
      <c r="AS216" s="65"/>
      <c r="AT216" s="65"/>
      <c r="AU216" s="65"/>
      <c r="AV216" s="65"/>
      <c r="AW216" s="65"/>
      <c r="AX216" s="65"/>
      <c r="AY216" s="65"/>
      <c r="AZ216" s="65"/>
      <c r="BA216" s="65"/>
      <c r="BB216" s="65"/>
      <c r="BC216" s="65"/>
      <c r="BD216" s="65"/>
      <c r="BE216" s="65"/>
      <c r="BF216" s="65"/>
      <c r="BG216" s="65"/>
      <c r="BH216" s="237"/>
      <c r="BI216" s="237"/>
      <c r="BJ216" s="237"/>
      <c r="BK216" s="65">
        <v>0</v>
      </c>
      <c r="BL216" s="65">
        <v>0</v>
      </c>
      <c r="BM216" s="65">
        <v>0</v>
      </c>
      <c r="BN216" s="65">
        <f t="shared" si="1142"/>
        <v>0</v>
      </c>
      <c r="BO216" s="67">
        <f t="shared" si="1143"/>
        <v>0</v>
      </c>
      <c r="BP216" s="65">
        <f t="shared" si="1144"/>
        <v>0</v>
      </c>
      <c r="BQ216" s="65">
        <f t="shared" si="1145"/>
        <v>0</v>
      </c>
      <c r="BR216" s="65">
        <f t="shared" si="1146"/>
        <v>0</v>
      </c>
      <c r="BS216" s="65">
        <f t="shared" si="1147"/>
        <v>0</v>
      </c>
      <c r="BT216" s="65">
        <f t="shared" si="1148"/>
        <v>0</v>
      </c>
      <c r="BU216" s="65">
        <f t="shared" si="1149"/>
        <v>0</v>
      </c>
      <c r="BV216" s="65">
        <f t="shared" si="1150"/>
        <v>0</v>
      </c>
      <c r="BW216" s="65">
        <f t="shared" si="1151"/>
        <v>0</v>
      </c>
      <c r="BX216" s="6"/>
      <c r="BY216" s="6"/>
      <c r="BZ216" s="6"/>
      <c r="CA216" s="6"/>
      <c r="CB216" s="6"/>
      <c r="CC216" s="6"/>
      <c r="CD216" s="6"/>
      <c r="CE216" s="6"/>
      <c r="CF216" s="6"/>
      <c r="CG216" s="6"/>
    </row>
    <row r="217" spans="1:85" ht="15.75" customHeight="1">
      <c r="A217" s="68"/>
      <c r="B217" s="103"/>
      <c r="C217" s="68" t="s">
        <v>350</v>
      </c>
      <c r="D217" s="70" t="s">
        <v>359</v>
      </c>
      <c r="E217" s="57">
        <v>0</v>
      </c>
      <c r="F217" s="57">
        <v>0</v>
      </c>
      <c r="G217" s="58">
        <f t="shared" si="1135"/>
        <v>0</v>
      </c>
      <c r="H217" s="57">
        <v>0</v>
      </c>
      <c r="I217" s="59">
        <f t="shared" si="732"/>
        <v>0</v>
      </c>
      <c r="J217" s="59">
        <f t="shared" si="733"/>
        <v>0</v>
      </c>
      <c r="K217" s="74">
        <v>0</v>
      </c>
      <c r="L217" s="74">
        <v>0</v>
      </c>
      <c r="M217" s="74">
        <v>0</v>
      </c>
      <c r="N217" s="74">
        <v>0</v>
      </c>
      <c r="O217" s="61">
        <f t="shared" ref="O217:Q217" si="1176">AA217+AD217+AG217+AJ217+AM217+AP217+AS217+AV217+AY217+BB217+BE217+BH217</f>
        <v>0</v>
      </c>
      <c r="P217" s="61">
        <f t="shared" si="1176"/>
        <v>0</v>
      </c>
      <c r="Q217" s="61">
        <f t="shared" si="1176"/>
        <v>0</v>
      </c>
      <c r="R217" s="61">
        <f t="shared" ref="R217:T217" si="1177">IF(BK217=0,SUM(AA217+AD217+AG217+AJ217+AM217+AP217+AS217+AV217+AY217+BB217+BE217+BH217),BK217)</f>
        <v>0</v>
      </c>
      <c r="S217" s="61">
        <f t="shared" si="1177"/>
        <v>0</v>
      </c>
      <c r="T217" s="61">
        <f t="shared" si="1177"/>
        <v>0</v>
      </c>
      <c r="U217" s="63">
        <f t="shared" si="1138"/>
        <v>0</v>
      </c>
      <c r="V217" s="63">
        <f t="shared" si="1139"/>
        <v>0</v>
      </c>
      <c r="W217" s="63">
        <f t="shared" si="1140"/>
        <v>0</v>
      </c>
      <c r="X217" s="64">
        <f t="shared" ref="X217:Y217" si="1178">IF(O217&gt;0,O217/K217,0)</f>
        <v>0</v>
      </c>
      <c r="Y217" s="64">
        <f t="shared" si="1178"/>
        <v>0</v>
      </c>
      <c r="Z217" s="64">
        <f t="shared" si="1014"/>
        <v>0</v>
      </c>
      <c r="AA217" s="65"/>
      <c r="AB217" s="65"/>
      <c r="AC217" s="65"/>
      <c r="AD217" s="65"/>
      <c r="AE217" s="66"/>
      <c r="AF217" s="66"/>
      <c r="AG217" s="66"/>
      <c r="AH217" s="66"/>
      <c r="AI217" s="65"/>
      <c r="AJ217" s="65"/>
      <c r="AK217" s="65"/>
      <c r="AL217" s="65"/>
      <c r="AM217" s="65"/>
      <c r="AN217" s="65"/>
      <c r="AO217" s="65"/>
      <c r="AP217" s="65"/>
      <c r="AQ217" s="65"/>
      <c r="AR217" s="65"/>
      <c r="AS217" s="65"/>
      <c r="AT217" s="65"/>
      <c r="AU217" s="65"/>
      <c r="AV217" s="65"/>
      <c r="AW217" s="65"/>
      <c r="AX217" s="65"/>
      <c r="AY217" s="65"/>
      <c r="AZ217" s="65"/>
      <c r="BA217" s="65"/>
      <c r="BB217" s="65"/>
      <c r="BC217" s="65"/>
      <c r="BD217" s="65"/>
      <c r="BE217" s="65"/>
      <c r="BF217" s="65"/>
      <c r="BG217" s="65"/>
      <c r="BH217" s="237"/>
      <c r="BI217" s="237"/>
      <c r="BJ217" s="237"/>
      <c r="BK217" s="65">
        <v>0</v>
      </c>
      <c r="BL217" s="65">
        <v>0</v>
      </c>
      <c r="BM217" s="65">
        <v>0</v>
      </c>
      <c r="BN217" s="65">
        <f t="shared" si="1142"/>
        <v>0</v>
      </c>
      <c r="BO217" s="67">
        <f t="shared" si="1143"/>
        <v>0</v>
      </c>
      <c r="BP217" s="65">
        <f t="shared" si="1144"/>
        <v>0</v>
      </c>
      <c r="BQ217" s="65">
        <f t="shared" si="1145"/>
        <v>0</v>
      </c>
      <c r="BR217" s="65">
        <f t="shared" si="1146"/>
        <v>0</v>
      </c>
      <c r="BS217" s="65">
        <f t="shared" si="1147"/>
        <v>0</v>
      </c>
      <c r="BT217" s="65">
        <f t="shared" si="1148"/>
        <v>0</v>
      </c>
      <c r="BU217" s="65">
        <f t="shared" si="1149"/>
        <v>0</v>
      </c>
      <c r="BV217" s="65">
        <f t="shared" si="1150"/>
        <v>0</v>
      </c>
      <c r="BW217" s="65">
        <f t="shared" si="1151"/>
        <v>0</v>
      </c>
      <c r="BX217" s="6"/>
      <c r="BY217" s="6"/>
      <c r="BZ217" s="6"/>
      <c r="CA217" s="6"/>
      <c r="CB217" s="6"/>
      <c r="CC217" s="6"/>
      <c r="CD217" s="6"/>
      <c r="CE217" s="6"/>
      <c r="CF217" s="6"/>
      <c r="CG217" s="6"/>
    </row>
    <row r="218" spans="1:85" ht="15.75" customHeight="1">
      <c r="A218" s="68"/>
      <c r="B218" s="103"/>
      <c r="C218" s="68" t="s">
        <v>350</v>
      </c>
      <c r="D218" s="70" t="s">
        <v>360</v>
      </c>
      <c r="E218" s="57">
        <v>0</v>
      </c>
      <c r="F218" s="57">
        <v>0</v>
      </c>
      <c r="G218" s="58">
        <f t="shared" si="1135"/>
        <v>0</v>
      </c>
      <c r="H218" s="57">
        <v>0</v>
      </c>
      <c r="I218" s="59">
        <f t="shared" si="732"/>
        <v>0</v>
      </c>
      <c r="J218" s="59">
        <f t="shared" si="733"/>
        <v>0</v>
      </c>
      <c r="K218" s="74">
        <v>0</v>
      </c>
      <c r="L218" s="74">
        <v>0</v>
      </c>
      <c r="M218" s="74">
        <v>0</v>
      </c>
      <c r="N218" s="74">
        <v>0</v>
      </c>
      <c r="O218" s="61">
        <f t="shared" ref="O218:Q218" si="1179">AA218+AD218+AG218+AJ218+AM218+AP218+AS218+AV218+AY218+BB218+BE218+BH218</f>
        <v>0</v>
      </c>
      <c r="P218" s="61">
        <f t="shared" si="1179"/>
        <v>0</v>
      </c>
      <c r="Q218" s="61">
        <f t="shared" si="1179"/>
        <v>0</v>
      </c>
      <c r="R218" s="61">
        <f t="shared" ref="R218:T218" si="1180">IF(BK218=0,SUM(AA218+AD218+AG218+AJ218+AM218+AP218+AS218+AV218+AY218+BB218+BE218+BH218),BK218)</f>
        <v>0</v>
      </c>
      <c r="S218" s="61">
        <f t="shared" si="1180"/>
        <v>0</v>
      </c>
      <c r="T218" s="61">
        <f t="shared" si="1180"/>
        <v>0</v>
      </c>
      <c r="U218" s="63">
        <f t="shared" si="1138"/>
        <v>0</v>
      </c>
      <c r="V218" s="63">
        <f t="shared" si="1139"/>
        <v>0</v>
      </c>
      <c r="W218" s="63">
        <f t="shared" si="1140"/>
        <v>0</v>
      </c>
      <c r="X218" s="64">
        <f t="shared" ref="X218:Y218" si="1181">IF(O218&gt;0,O218/K218,0)</f>
        <v>0</v>
      </c>
      <c r="Y218" s="64">
        <f t="shared" si="1181"/>
        <v>0</v>
      </c>
      <c r="Z218" s="64">
        <f t="shared" si="1014"/>
        <v>0</v>
      </c>
      <c r="AA218" s="65"/>
      <c r="AB218" s="65"/>
      <c r="AC218" s="65"/>
      <c r="AD218" s="65"/>
      <c r="AE218" s="66"/>
      <c r="AF218" s="66"/>
      <c r="AG218" s="66"/>
      <c r="AH218" s="66"/>
      <c r="AI218" s="65"/>
      <c r="AJ218" s="65"/>
      <c r="AK218" s="65"/>
      <c r="AL218" s="65"/>
      <c r="AM218" s="65"/>
      <c r="AN218" s="65"/>
      <c r="AO218" s="65"/>
      <c r="AP218" s="65"/>
      <c r="AQ218" s="65"/>
      <c r="AR218" s="65"/>
      <c r="AS218" s="65"/>
      <c r="AT218" s="65"/>
      <c r="AU218" s="65"/>
      <c r="AV218" s="65"/>
      <c r="AW218" s="65"/>
      <c r="AX218" s="65"/>
      <c r="AY218" s="65"/>
      <c r="AZ218" s="65"/>
      <c r="BA218" s="65"/>
      <c r="BB218" s="65"/>
      <c r="BC218" s="65"/>
      <c r="BD218" s="65"/>
      <c r="BE218" s="65"/>
      <c r="BF218" s="65"/>
      <c r="BG218" s="65"/>
      <c r="BH218" s="237"/>
      <c r="BI218" s="237"/>
      <c r="BJ218" s="237"/>
      <c r="BK218" s="65">
        <v>0</v>
      </c>
      <c r="BL218" s="65">
        <v>0</v>
      </c>
      <c r="BM218" s="65">
        <v>0</v>
      </c>
      <c r="BN218" s="65">
        <f t="shared" si="1142"/>
        <v>0</v>
      </c>
      <c r="BO218" s="67">
        <f t="shared" si="1143"/>
        <v>0</v>
      </c>
      <c r="BP218" s="65">
        <f t="shared" si="1144"/>
        <v>0</v>
      </c>
      <c r="BQ218" s="65">
        <f t="shared" si="1145"/>
        <v>0</v>
      </c>
      <c r="BR218" s="65">
        <f t="shared" si="1146"/>
        <v>0</v>
      </c>
      <c r="BS218" s="65">
        <f t="shared" si="1147"/>
        <v>0</v>
      </c>
      <c r="BT218" s="65">
        <f t="shared" si="1148"/>
        <v>0</v>
      </c>
      <c r="BU218" s="65">
        <f t="shared" si="1149"/>
        <v>0</v>
      </c>
      <c r="BV218" s="65">
        <f t="shared" si="1150"/>
        <v>0</v>
      </c>
      <c r="BW218" s="65">
        <f t="shared" si="1151"/>
        <v>0</v>
      </c>
      <c r="BX218" s="6"/>
      <c r="BY218" s="6"/>
      <c r="BZ218" s="6"/>
      <c r="CA218" s="6"/>
      <c r="CB218" s="6"/>
      <c r="CC218" s="6"/>
      <c r="CD218" s="6"/>
      <c r="CE218" s="6"/>
      <c r="CF218" s="6"/>
      <c r="CG218" s="6"/>
    </row>
    <row r="219" spans="1:85" ht="15.75" customHeight="1">
      <c r="A219" s="68"/>
      <c r="B219" s="103"/>
      <c r="C219" s="68" t="s">
        <v>350</v>
      </c>
      <c r="D219" s="70" t="s">
        <v>359</v>
      </c>
      <c r="E219" s="57">
        <v>0</v>
      </c>
      <c r="F219" s="57">
        <v>0</v>
      </c>
      <c r="G219" s="58">
        <f t="shared" si="1135"/>
        <v>0</v>
      </c>
      <c r="H219" s="57">
        <v>0</v>
      </c>
      <c r="I219" s="59">
        <f t="shared" si="732"/>
        <v>0</v>
      </c>
      <c r="J219" s="59">
        <f t="shared" si="733"/>
        <v>0</v>
      </c>
      <c r="K219" s="74">
        <v>0</v>
      </c>
      <c r="L219" s="74">
        <v>0</v>
      </c>
      <c r="M219" s="74">
        <v>0</v>
      </c>
      <c r="N219" s="74">
        <v>0</v>
      </c>
      <c r="O219" s="61">
        <f t="shared" ref="O219:Q219" si="1182">AA219+AD219+AG219+AJ219+AM219+AP219+AS219+AV219+AY219+BB219+BE219+BH219</f>
        <v>0</v>
      </c>
      <c r="P219" s="61">
        <f t="shared" si="1182"/>
        <v>0</v>
      </c>
      <c r="Q219" s="61">
        <f t="shared" si="1182"/>
        <v>0</v>
      </c>
      <c r="R219" s="61">
        <f t="shared" ref="R219:T219" si="1183">IF(BK219=0,SUM(AA219+AD219+AG219+AJ219+AM219+AP219+AS219+AV219+AY219+BB219+BE219+BH219),BK219)</f>
        <v>0</v>
      </c>
      <c r="S219" s="61">
        <f t="shared" si="1183"/>
        <v>0</v>
      </c>
      <c r="T219" s="61">
        <f t="shared" si="1183"/>
        <v>0</v>
      </c>
      <c r="U219" s="63">
        <f t="shared" si="1138"/>
        <v>0</v>
      </c>
      <c r="V219" s="63">
        <f t="shared" si="1139"/>
        <v>0</v>
      </c>
      <c r="W219" s="63">
        <f t="shared" si="1140"/>
        <v>0</v>
      </c>
      <c r="X219" s="64">
        <f t="shared" ref="X219:Y219" si="1184">IF(O219&gt;0,O219/K219,0)</f>
        <v>0</v>
      </c>
      <c r="Y219" s="64">
        <f t="shared" si="1184"/>
        <v>0</v>
      </c>
      <c r="Z219" s="64">
        <f t="shared" si="1014"/>
        <v>0</v>
      </c>
      <c r="AA219" s="65"/>
      <c r="AB219" s="65"/>
      <c r="AC219" s="65"/>
      <c r="AD219" s="65"/>
      <c r="AE219" s="66"/>
      <c r="AF219" s="66"/>
      <c r="AG219" s="66"/>
      <c r="AH219" s="66"/>
      <c r="AI219" s="65"/>
      <c r="AJ219" s="65"/>
      <c r="AK219" s="65"/>
      <c r="AL219" s="65"/>
      <c r="AM219" s="65"/>
      <c r="AN219" s="65"/>
      <c r="AO219" s="65"/>
      <c r="AP219" s="65"/>
      <c r="AQ219" s="65"/>
      <c r="AR219" s="65"/>
      <c r="AS219" s="65"/>
      <c r="AT219" s="65"/>
      <c r="AU219" s="65"/>
      <c r="AV219" s="65"/>
      <c r="AW219" s="65"/>
      <c r="AX219" s="65"/>
      <c r="AY219" s="65"/>
      <c r="AZ219" s="65"/>
      <c r="BA219" s="65"/>
      <c r="BB219" s="65"/>
      <c r="BC219" s="65"/>
      <c r="BD219" s="65"/>
      <c r="BE219" s="65"/>
      <c r="BF219" s="65"/>
      <c r="BG219" s="65"/>
      <c r="BH219" s="237"/>
      <c r="BI219" s="237"/>
      <c r="BJ219" s="237"/>
      <c r="BK219" s="65">
        <v>0</v>
      </c>
      <c r="BL219" s="65">
        <v>0</v>
      </c>
      <c r="BM219" s="65">
        <v>0</v>
      </c>
      <c r="BN219" s="65">
        <f t="shared" si="1142"/>
        <v>0</v>
      </c>
      <c r="BO219" s="67">
        <f t="shared" si="1143"/>
        <v>0</v>
      </c>
      <c r="BP219" s="65">
        <f t="shared" si="1144"/>
        <v>0</v>
      </c>
      <c r="BQ219" s="65">
        <f t="shared" si="1145"/>
        <v>0</v>
      </c>
      <c r="BR219" s="65">
        <f t="shared" si="1146"/>
        <v>0</v>
      </c>
      <c r="BS219" s="65">
        <f t="shared" si="1147"/>
        <v>0</v>
      </c>
      <c r="BT219" s="65">
        <f t="shared" si="1148"/>
        <v>0</v>
      </c>
      <c r="BU219" s="65">
        <f t="shared" si="1149"/>
        <v>0</v>
      </c>
      <c r="BV219" s="65">
        <f t="shared" si="1150"/>
        <v>0</v>
      </c>
      <c r="BW219" s="65">
        <f t="shared" si="1151"/>
        <v>0</v>
      </c>
      <c r="BX219" s="6"/>
      <c r="BY219" s="6"/>
      <c r="BZ219" s="6"/>
      <c r="CA219" s="6"/>
      <c r="CB219" s="6"/>
      <c r="CC219" s="6"/>
      <c r="CD219" s="6"/>
      <c r="CE219" s="6"/>
      <c r="CF219" s="6"/>
      <c r="CG219" s="6"/>
    </row>
    <row r="220" spans="1:85" ht="15.75" customHeight="1">
      <c r="A220" s="68"/>
      <c r="B220" s="103"/>
      <c r="C220" s="68" t="s">
        <v>350</v>
      </c>
      <c r="D220" s="70" t="s">
        <v>360</v>
      </c>
      <c r="E220" s="57">
        <v>0</v>
      </c>
      <c r="F220" s="57">
        <v>0</v>
      </c>
      <c r="G220" s="58">
        <f t="shared" si="1135"/>
        <v>0</v>
      </c>
      <c r="H220" s="57">
        <v>0</v>
      </c>
      <c r="I220" s="59">
        <f t="shared" si="732"/>
        <v>0</v>
      </c>
      <c r="J220" s="59">
        <f t="shared" si="733"/>
        <v>0</v>
      </c>
      <c r="K220" s="74">
        <v>0</v>
      </c>
      <c r="L220" s="74">
        <v>0</v>
      </c>
      <c r="M220" s="74">
        <v>0</v>
      </c>
      <c r="N220" s="74">
        <v>0</v>
      </c>
      <c r="O220" s="61">
        <f t="shared" ref="O220:Q220" si="1185">AA220+AD220+AG220+AJ220+AM220+AP220+AS220+AV220+AY220+BB220+BE220+BH220</f>
        <v>0</v>
      </c>
      <c r="P220" s="61">
        <f t="shared" si="1185"/>
        <v>0</v>
      </c>
      <c r="Q220" s="61">
        <f t="shared" si="1185"/>
        <v>0</v>
      </c>
      <c r="R220" s="61">
        <f t="shared" ref="R220:T220" si="1186">IF(BK220=0,SUM(AA220+AD220+AG220+AJ220+AM220+AP220+AS220+AV220+AY220+BB220+BE220+BH220),BK220)</f>
        <v>0</v>
      </c>
      <c r="S220" s="61">
        <f t="shared" si="1186"/>
        <v>0</v>
      </c>
      <c r="T220" s="61">
        <f t="shared" si="1186"/>
        <v>0</v>
      </c>
      <c r="U220" s="63">
        <f t="shared" si="1138"/>
        <v>0</v>
      </c>
      <c r="V220" s="63">
        <f t="shared" si="1139"/>
        <v>0</v>
      </c>
      <c r="W220" s="63">
        <f t="shared" si="1140"/>
        <v>0</v>
      </c>
      <c r="X220" s="64">
        <f t="shared" ref="X220:Y220" si="1187">IF(O220&gt;0,O220/K220,0)</f>
        <v>0</v>
      </c>
      <c r="Y220" s="64">
        <f t="shared" si="1187"/>
        <v>0</v>
      </c>
      <c r="Z220" s="64">
        <f t="shared" si="1014"/>
        <v>0</v>
      </c>
      <c r="AA220" s="65"/>
      <c r="AB220" s="65"/>
      <c r="AC220" s="65"/>
      <c r="AD220" s="65"/>
      <c r="AE220" s="66"/>
      <c r="AF220" s="66"/>
      <c r="AG220" s="66"/>
      <c r="AH220" s="66"/>
      <c r="AI220" s="65"/>
      <c r="AJ220" s="65"/>
      <c r="AK220" s="65"/>
      <c r="AL220" s="65"/>
      <c r="AM220" s="65"/>
      <c r="AN220" s="65"/>
      <c r="AO220" s="65"/>
      <c r="AP220" s="65"/>
      <c r="AQ220" s="65"/>
      <c r="AR220" s="65"/>
      <c r="AS220" s="65"/>
      <c r="AT220" s="65"/>
      <c r="AU220" s="65"/>
      <c r="AV220" s="65"/>
      <c r="AW220" s="65"/>
      <c r="AX220" s="65"/>
      <c r="AY220" s="65"/>
      <c r="AZ220" s="65"/>
      <c r="BA220" s="65"/>
      <c r="BB220" s="65"/>
      <c r="BC220" s="65"/>
      <c r="BD220" s="65"/>
      <c r="BE220" s="65"/>
      <c r="BF220" s="65"/>
      <c r="BG220" s="65"/>
      <c r="BH220" s="237"/>
      <c r="BI220" s="237"/>
      <c r="BJ220" s="237"/>
      <c r="BK220" s="65">
        <v>0</v>
      </c>
      <c r="BL220" s="65">
        <v>0</v>
      </c>
      <c r="BM220" s="65">
        <v>0</v>
      </c>
      <c r="BN220" s="65">
        <f t="shared" si="1142"/>
        <v>0</v>
      </c>
      <c r="BO220" s="67">
        <f t="shared" si="1143"/>
        <v>0</v>
      </c>
      <c r="BP220" s="65">
        <f t="shared" si="1144"/>
        <v>0</v>
      </c>
      <c r="BQ220" s="65">
        <f t="shared" si="1145"/>
        <v>0</v>
      </c>
      <c r="BR220" s="65">
        <f t="shared" si="1146"/>
        <v>0</v>
      </c>
      <c r="BS220" s="65">
        <f t="shared" si="1147"/>
        <v>0</v>
      </c>
      <c r="BT220" s="65">
        <f t="shared" si="1148"/>
        <v>0</v>
      </c>
      <c r="BU220" s="65">
        <f t="shared" si="1149"/>
        <v>0</v>
      </c>
      <c r="BV220" s="65">
        <f t="shared" si="1150"/>
        <v>0</v>
      </c>
      <c r="BW220" s="65">
        <f t="shared" si="1151"/>
        <v>0</v>
      </c>
      <c r="BX220" s="6"/>
      <c r="BY220" s="6"/>
      <c r="BZ220" s="6"/>
      <c r="CA220" s="6"/>
      <c r="CB220" s="6"/>
      <c r="CC220" s="6"/>
      <c r="CD220" s="6"/>
      <c r="CE220" s="6"/>
      <c r="CF220" s="6"/>
      <c r="CG220" s="6"/>
    </row>
    <row r="221" spans="1:85" ht="15.75" customHeight="1">
      <c r="A221" s="68"/>
      <c r="B221" s="103"/>
      <c r="C221" s="68" t="s">
        <v>350</v>
      </c>
      <c r="D221" s="70" t="s">
        <v>360</v>
      </c>
      <c r="E221" s="57">
        <v>0</v>
      </c>
      <c r="F221" s="57">
        <v>0</v>
      </c>
      <c r="G221" s="58">
        <f t="shared" si="1135"/>
        <v>0</v>
      </c>
      <c r="H221" s="57">
        <v>0</v>
      </c>
      <c r="I221" s="59">
        <f t="shared" si="732"/>
        <v>0</v>
      </c>
      <c r="J221" s="59">
        <f t="shared" si="733"/>
        <v>0</v>
      </c>
      <c r="K221" s="74">
        <v>0</v>
      </c>
      <c r="L221" s="74">
        <v>0</v>
      </c>
      <c r="M221" s="74">
        <v>0</v>
      </c>
      <c r="N221" s="74">
        <v>0</v>
      </c>
      <c r="O221" s="61">
        <f t="shared" ref="O221:Q221" si="1188">AA221+AD221+AG221+AJ221+AM221+AP221+AS221+AV221+AY221+BB221+BE221+BH221</f>
        <v>0</v>
      </c>
      <c r="P221" s="61">
        <f t="shared" si="1188"/>
        <v>0</v>
      </c>
      <c r="Q221" s="61">
        <f t="shared" si="1188"/>
        <v>0</v>
      </c>
      <c r="R221" s="61">
        <f t="shared" ref="R221:T221" si="1189">IF(BK221=0,SUM(AA221+AD221+AG221+AJ221+AM221+AP221+AS221+AV221+AY221+BB221+BE221+BH221),BK221)</f>
        <v>0</v>
      </c>
      <c r="S221" s="61">
        <f t="shared" si="1189"/>
        <v>0</v>
      </c>
      <c r="T221" s="61">
        <f t="shared" si="1189"/>
        <v>0</v>
      </c>
      <c r="U221" s="63">
        <f t="shared" si="1138"/>
        <v>0</v>
      </c>
      <c r="V221" s="63">
        <f t="shared" si="1139"/>
        <v>0</v>
      </c>
      <c r="W221" s="63">
        <f t="shared" si="1140"/>
        <v>0</v>
      </c>
      <c r="X221" s="64">
        <f t="shared" ref="X221:Y221" si="1190">IF(O221&gt;0,O221/K221,0)</f>
        <v>0</v>
      </c>
      <c r="Y221" s="64">
        <f t="shared" si="1190"/>
        <v>0</v>
      </c>
      <c r="Z221" s="64">
        <f t="shared" si="1014"/>
        <v>0</v>
      </c>
      <c r="AA221" s="65"/>
      <c r="AB221" s="65"/>
      <c r="AC221" s="65"/>
      <c r="AD221" s="65"/>
      <c r="AE221" s="66"/>
      <c r="AF221" s="66"/>
      <c r="AG221" s="66"/>
      <c r="AH221" s="66"/>
      <c r="AI221" s="65"/>
      <c r="AJ221" s="65"/>
      <c r="AK221" s="65"/>
      <c r="AL221" s="65"/>
      <c r="AM221" s="65"/>
      <c r="AN221" s="65"/>
      <c r="AO221" s="65"/>
      <c r="AP221" s="65"/>
      <c r="AQ221" s="65"/>
      <c r="AR221" s="65"/>
      <c r="AS221" s="65"/>
      <c r="AT221" s="65"/>
      <c r="AU221" s="65"/>
      <c r="AV221" s="65"/>
      <c r="AW221" s="65"/>
      <c r="AX221" s="65"/>
      <c r="AY221" s="65"/>
      <c r="AZ221" s="65"/>
      <c r="BA221" s="65"/>
      <c r="BB221" s="65"/>
      <c r="BC221" s="65"/>
      <c r="BD221" s="65"/>
      <c r="BE221" s="65"/>
      <c r="BF221" s="65"/>
      <c r="BG221" s="65"/>
      <c r="BH221" s="237"/>
      <c r="BI221" s="237"/>
      <c r="BJ221" s="237"/>
      <c r="BK221" s="65">
        <v>0</v>
      </c>
      <c r="BL221" s="65">
        <v>0</v>
      </c>
      <c r="BM221" s="65">
        <v>0</v>
      </c>
      <c r="BN221" s="65">
        <f t="shared" si="1142"/>
        <v>0</v>
      </c>
      <c r="BO221" s="67">
        <f t="shared" si="1143"/>
        <v>0</v>
      </c>
      <c r="BP221" s="65">
        <f t="shared" si="1144"/>
        <v>0</v>
      </c>
      <c r="BQ221" s="65">
        <f t="shared" si="1145"/>
        <v>0</v>
      </c>
      <c r="BR221" s="65">
        <f t="shared" si="1146"/>
        <v>0</v>
      </c>
      <c r="BS221" s="65">
        <f t="shared" si="1147"/>
        <v>0</v>
      </c>
      <c r="BT221" s="65">
        <f t="shared" si="1148"/>
        <v>0</v>
      </c>
      <c r="BU221" s="65">
        <f t="shared" si="1149"/>
        <v>0</v>
      </c>
      <c r="BV221" s="65">
        <f t="shared" si="1150"/>
        <v>0</v>
      </c>
      <c r="BW221" s="65">
        <f t="shared" si="1151"/>
        <v>0</v>
      </c>
      <c r="BX221" s="6"/>
      <c r="BY221" s="6"/>
      <c r="BZ221" s="6"/>
      <c r="CA221" s="6"/>
      <c r="CB221" s="6"/>
      <c r="CC221" s="6"/>
      <c r="CD221" s="6"/>
      <c r="CE221" s="6"/>
      <c r="CF221" s="6"/>
      <c r="CG221" s="6"/>
    </row>
    <row r="222" spans="1:85" ht="15.75" customHeight="1">
      <c r="A222" s="68"/>
      <c r="B222" s="103"/>
      <c r="C222" s="68" t="s">
        <v>350</v>
      </c>
      <c r="D222" s="70" t="s">
        <v>361</v>
      </c>
      <c r="E222" s="57">
        <v>0</v>
      </c>
      <c r="F222" s="57">
        <v>0</v>
      </c>
      <c r="G222" s="58">
        <f t="shared" si="1135"/>
        <v>0</v>
      </c>
      <c r="H222" s="57">
        <v>0</v>
      </c>
      <c r="I222" s="59">
        <f t="shared" si="732"/>
        <v>0</v>
      </c>
      <c r="J222" s="59">
        <f t="shared" si="733"/>
        <v>0</v>
      </c>
      <c r="K222" s="74">
        <v>0</v>
      </c>
      <c r="L222" s="74">
        <v>0</v>
      </c>
      <c r="M222" s="74">
        <v>0</v>
      </c>
      <c r="N222" s="74">
        <v>0</v>
      </c>
      <c r="O222" s="61">
        <f t="shared" ref="O222:Q222" si="1191">AA222+AD222+AG222+AJ222+AM222+AP222+AS222+AV222+AY222+BB222+BE222+BH222</f>
        <v>0</v>
      </c>
      <c r="P222" s="61">
        <f t="shared" si="1191"/>
        <v>0</v>
      </c>
      <c r="Q222" s="61">
        <f t="shared" si="1191"/>
        <v>0</v>
      </c>
      <c r="R222" s="61">
        <f t="shared" ref="R222:T222" si="1192">IF(BK222=0,SUM(AA222+AD222+AG222+AJ222+AM222+AP222+AS222+AV222+AY222+BB222+BE222+BH222),BK222)</f>
        <v>0</v>
      </c>
      <c r="S222" s="61">
        <f t="shared" si="1192"/>
        <v>0</v>
      </c>
      <c r="T222" s="61">
        <f t="shared" si="1192"/>
        <v>0</v>
      </c>
      <c r="U222" s="63">
        <f t="shared" si="1138"/>
        <v>0</v>
      </c>
      <c r="V222" s="63">
        <f t="shared" si="1139"/>
        <v>0</v>
      </c>
      <c r="W222" s="63">
        <f t="shared" si="1140"/>
        <v>0</v>
      </c>
      <c r="X222" s="64">
        <f t="shared" ref="X222:Y222" si="1193">IF(O222&gt;0,O222/K222,0)</f>
        <v>0</v>
      </c>
      <c r="Y222" s="64">
        <f t="shared" si="1193"/>
        <v>0</v>
      </c>
      <c r="Z222" s="64">
        <f t="shared" si="1014"/>
        <v>0</v>
      </c>
      <c r="AA222" s="65"/>
      <c r="AB222" s="65"/>
      <c r="AC222" s="65"/>
      <c r="AD222" s="65"/>
      <c r="AE222" s="66"/>
      <c r="AF222" s="66"/>
      <c r="AG222" s="66"/>
      <c r="AH222" s="66"/>
      <c r="AI222" s="65"/>
      <c r="AJ222" s="65"/>
      <c r="AK222" s="65"/>
      <c r="AL222" s="65"/>
      <c r="AM222" s="65"/>
      <c r="AN222" s="65"/>
      <c r="AO222" s="65"/>
      <c r="AP222" s="65"/>
      <c r="AQ222" s="65"/>
      <c r="AR222" s="65"/>
      <c r="AS222" s="65"/>
      <c r="AT222" s="65"/>
      <c r="AU222" s="65"/>
      <c r="AV222" s="65"/>
      <c r="AW222" s="65"/>
      <c r="AX222" s="65"/>
      <c r="AY222" s="65"/>
      <c r="AZ222" s="65"/>
      <c r="BA222" s="65"/>
      <c r="BB222" s="65"/>
      <c r="BC222" s="65"/>
      <c r="BD222" s="65"/>
      <c r="BE222" s="65"/>
      <c r="BF222" s="65"/>
      <c r="BG222" s="65"/>
      <c r="BH222" s="237"/>
      <c r="BI222" s="237"/>
      <c r="BJ222" s="237"/>
      <c r="BK222" s="65">
        <v>0</v>
      </c>
      <c r="BL222" s="65">
        <v>0</v>
      </c>
      <c r="BM222" s="65">
        <v>0</v>
      </c>
      <c r="BN222" s="65">
        <f t="shared" si="1142"/>
        <v>0</v>
      </c>
      <c r="BO222" s="67">
        <f t="shared" si="1143"/>
        <v>0</v>
      </c>
      <c r="BP222" s="65">
        <f t="shared" si="1144"/>
        <v>0</v>
      </c>
      <c r="BQ222" s="65">
        <f t="shared" si="1145"/>
        <v>0</v>
      </c>
      <c r="BR222" s="65">
        <f t="shared" si="1146"/>
        <v>0</v>
      </c>
      <c r="BS222" s="65">
        <f t="shared" si="1147"/>
        <v>0</v>
      </c>
      <c r="BT222" s="65">
        <f t="shared" si="1148"/>
        <v>0</v>
      </c>
      <c r="BU222" s="65">
        <f t="shared" si="1149"/>
        <v>0</v>
      </c>
      <c r="BV222" s="65">
        <f t="shared" si="1150"/>
        <v>0</v>
      </c>
      <c r="BW222" s="65">
        <f t="shared" si="1151"/>
        <v>0</v>
      </c>
      <c r="BX222" s="6"/>
      <c r="BY222" s="6"/>
      <c r="BZ222" s="6"/>
      <c r="CA222" s="6"/>
      <c r="CB222" s="6"/>
      <c r="CC222" s="6"/>
      <c r="CD222" s="6"/>
      <c r="CE222" s="6"/>
      <c r="CF222" s="6"/>
      <c r="CG222" s="6"/>
    </row>
    <row r="223" spans="1:85" ht="15.75" customHeight="1">
      <c r="A223" s="68"/>
      <c r="B223" s="103"/>
      <c r="C223" s="68" t="s">
        <v>350</v>
      </c>
      <c r="D223" s="70" t="s">
        <v>362</v>
      </c>
      <c r="E223" s="57">
        <v>0</v>
      </c>
      <c r="F223" s="57">
        <v>0</v>
      </c>
      <c r="G223" s="58">
        <f t="shared" si="1135"/>
        <v>0</v>
      </c>
      <c r="H223" s="57">
        <v>0</v>
      </c>
      <c r="I223" s="59">
        <f t="shared" si="732"/>
        <v>0</v>
      </c>
      <c r="J223" s="59">
        <f t="shared" si="733"/>
        <v>0</v>
      </c>
      <c r="K223" s="74">
        <v>0</v>
      </c>
      <c r="L223" s="74">
        <v>0</v>
      </c>
      <c r="M223" s="74">
        <v>0</v>
      </c>
      <c r="N223" s="74">
        <v>0</v>
      </c>
      <c r="O223" s="61">
        <f t="shared" ref="O223:Q223" si="1194">AA223+AD223+AG223+AJ223+AM223+AP223+AS223+AV223+AY223+BB223+BE223+BH223</f>
        <v>0</v>
      </c>
      <c r="P223" s="61">
        <f t="shared" si="1194"/>
        <v>0</v>
      </c>
      <c r="Q223" s="61">
        <f t="shared" si="1194"/>
        <v>0</v>
      </c>
      <c r="R223" s="61">
        <f t="shared" ref="R223:T223" si="1195">IF(BK223=0,SUM(AA223+AD223+AG223+AJ223+AM223+AP223+AS223+AV223+AY223+BB223+BE223+BH223),BK223)</f>
        <v>0</v>
      </c>
      <c r="S223" s="61">
        <f t="shared" si="1195"/>
        <v>0</v>
      </c>
      <c r="T223" s="61">
        <f t="shared" si="1195"/>
        <v>0</v>
      </c>
      <c r="U223" s="63">
        <f t="shared" si="1138"/>
        <v>0</v>
      </c>
      <c r="V223" s="63">
        <f t="shared" si="1139"/>
        <v>0</v>
      </c>
      <c r="W223" s="63">
        <f t="shared" si="1140"/>
        <v>0</v>
      </c>
      <c r="X223" s="64">
        <f t="shared" ref="X223:Y223" si="1196">IF(O223&gt;0,O223/K223,0)</f>
        <v>0</v>
      </c>
      <c r="Y223" s="64">
        <f t="shared" si="1196"/>
        <v>0</v>
      </c>
      <c r="Z223" s="64">
        <f t="shared" si="1014"/>
        <v>0</v>
      </c>
      <c r="AA223" s="65"/>
      <c r="AB223" s="65"/>
      <c r="AC223" s="65"/>
      <c r="AD223" s="65"/>
      <c r="AE223" s="66"/>
      <c r="AF223" s="66"/>
      <c r="AG223" s="66"/>
      <c r="AH223" s="66"/>
      <c r="AI223" s="65"/>
      <c r="AJ223" s="65"/>
      <c r="AK223" s="65"/>
      <c r="AL223" s="65"/>
      <c r="AM223" s="65"/>
      <c r="AN223" s="65"/>
      <c r="AO223" s="65"/>
      <c r="AP223" s="65"/>
      <c r="AQ223" s="65"/>
      <c r="AR223" s="65"/>
      <c r="AS223" s="65"/>
      <c r="AT223" s="65"/>
      <c r="AU223" s="65"/>
      <c r="AV223" s="65"/>
      <c r="AW223" s="65"/>
      <c r="AX223" s="65"/>
      <c r="AY223" s="65"/>
      <c r="AZ223" s="65"/>
      <c r="BA223" s="65"/>
      <c r="BB223" s="65"/>
      <c r="BC223" s="65"/>
      <c r="BD223" s="65"/>
      <c r="BE223" s="65"/>
      <c r="BF223" s="65"/>
      <c r="BG223" s="65"/>
      <c r="BH223" s="237"/>
      <c r="BI223" s="237"/>
      <c r="BJ223" s="237"/>
      <c r="BK223" s="65">
        <v>0</v>
      </c>
      <c r="BL223" s="65">
        <v>0</v>
      </c>
      <c r="BM223" s="65">
        <v>0</v>
      </c>
      <c r="BN223" s="65">
        <f t="shared" si="1142"/>
        <v>0</v>
      </c>
      <c r="BO223" s="67">
        <f t="shared" si="1143"/>
        <v>0</v>
      </c>
      <c r="BP223" s="65">
        <f t="shared" si="1144"/>
        <v>0</v>
      </c>
      <c r="BQ223" s="65">
        <f t="shared" si="1145"/>
        <v>0</v>
      </c>
      <c r="BR223" s="65">
        <f t="shared" si="1146"/>
        <v>0</v>
      </c>
      <c r="BS223" s="65">
        <f t="shared" si="1147"/>
        <v>0</v>
      </c>
      <c r="BT223" s="65">
        <f t="shared" si="1148"/>
        <v>0</v>
      </c>
      <c r="BU223" s="65">
        <f t="shared" si="1149"/>
        <v>0</v>
      </c>
      <c r="BV223" s="65">
        <f t="shared" si="1150"/>
        <v>0</v>
      </c>
      <c r="BW223" s="65">
        <f t="shared" si="1151"/>
        <v>0</v>
      </c>
      <c r="BX223" s="6"/>
      <c r="BY223" s="6"/>
      <c r="BZ223" s="6"/>
      <c r="CA223" s="6"/>
      <c r="CB223" s="6"/>
      <c r="CC223" s="6"/>
      <c r="CD223" s="6"/>
      <c r="CE223" s="6"/>
      <c r="CF223" s="6"/>
      <c r="CG223" s="6"/>
    </row>
    <row r="224" spans="1:85" ht="15.75" customHeight="1">
      <c r="A224" s="68"/>
      <c r="B224" s="103"/>
      <c r="C224" s="68" t="s">
        <v>98</v>
      </c>
      <c r="D224" s="70" t="s">
        <v>363</v>
      </c>
      <c r="E224" s="57">
        <v>0</v>
      </c>
      <c r="F224" s="57">
        <v>0</v>
      </c>
      <c r="G224" s="58">
        <f t="shared" si="1135"/>
        <v>0</v>
      </c>
      <c r="H224" s="57">
        <v>0</v>
      </c>
      <c r="I224" s="59">
        <f t="shared" si="732"/>
        <v>0</v>
      </c>
      <c r="J224" s="59">
        <f t="shared" si="733"/>
        <v>0</v>
      </c>
      <c r="K224" s="74">
        <v>0</v>
      </c>
      <c r="L224" s="74">
        <v>0</v>
      </c>
      <c r="M224" s="74">
        <v>0</v>
      </c>
      <c r="N224" s="74">
        <v>0</v>
      </c>
      <c r="O224" s="61">
        <f t="shared" ref="O224:Q224" si="1197">AA224+AD224+AG224+AJ224+AM224+AP224+AS224+AV224+AY224+BB224+BE224+BH224</f>
        <v>0</v>
      </c>
      <c r="P224" s="61">
        <f t="shared" si="1197"/>
        <v>0</v>
      </c>
      <c r="Q224" s="61">
        <f t="shared" si="1197"/>
        <v>0</v>
      </c>
      <c r="R224" s="61">
        <f t="shared" ref="R224:T224" si="1198">IF(BK224=0,SUM(AA224+AD224+AG224+AJ224+AM224+AP224+AS224+AV224+AY224+BB224+BE224+BH224),BK224)</f>
        <v>0</v>
      </c>
      <c r="S224" s="61">
        <f t="shared" si="1198"/>
        <v>0</v>
      </c>
      <c r="T224" s="61">
        <f t="shared" si="1198"/>
        <v>0</v>
      </c>
      <c r="U224" s="63">
        <f t="shared" si="1138"/>
        <v>0</v>
      </c>
      <c r="V224" s="63">
        <f t="shared" si="1139"/>
        <v>0</v>
      </c>
      <c r="W224" s="63">
        <f t="shared" si="1140"/>
        <v>0</v>
      </c>
      <c r="X224" s="64">
        <f t="shared" ref="X224:Y224" si="1199">IF(O224&gt;0,O224/K224,0)</f>
        <v>0</v>
      </c>
      <c r="Y224" s="64">
        <f t="shared" si="1199"/>
        <v>0</v>
      </c>
      <c r="Z224" s="64">
        <f t="shared" si="1014"/>
        <v>0</v>
      </c>
      <c r="AA224" s="65"/>
      <c r="AB224" s="65"/>
      <c r="AC224" s="65"/>
      <c r="AD224" s="65"/>
      <c r="AE224" s="66"/>
      <c r="AF224" s="66"/>
      <c r="AG224" s="66"/>
      <c r="AH224" s="66"/>
      <c r="AI224" s="65"/>
      <c r="AJ224" s="65"/>
      <c r="AK224" s="65"/>
      <c r="AL224" s="65"/>
      <c r="AM224" s="65"/>
      <c r="AN224" s="65"/>
      <c r="AO224" s="65"/>
      <c r="AP224" s="65"/>
      <c r="AQ224" s="65"/>
      <c r="AR224" s="65"/>
      <c r="AS224" s="65"/>
      <c r="AT224" s="65"/>
      <c r="AU224" s="65"/>
      <c r="AV224" s="65"/>
      <c r="AW224" s="65"/>
      <c r="AX224" s="65"/>
      <c r="AY224" s="65"/>
      <c r="AZ224" s="65"/>
      <c r="BA224" s="65"/>
      <c r="BB224" s="65"/>
      <c r="BC224" s="65"/>
      <c r="BD224" s="65"/>
      <c r="BE224" s="65"/>
      <c r="BF224" s="65"/>
      <c r="BG224" s="65"/>
      <c r="BH224" s="237"/>
      <c r="BI224" s="237"/>
      <c r="BJ224" s="237"/>
      <c r="BK224" s="65">
        <v>0</v>
      </c>
      <c r="BL224" s="65">
        <v>0</v>
      </c>
      <c r="BM224" s="65">
        <v>0</v>
      </c>
      <c r="BN224" s="65">
        <f t="shared" si="1142"/>
        <v>0</v>
      </c>
      <c r="BO224" s="67">
        <f t="shared" si="1143"/>
        <v>0</v>
      </c>
      <c r="BP224" s="65">
        <f t="shared" si="1144"/>
        <v>0</v>
      </c>
      <c r="BQ224" s="65">
        <f t="shared" si="1145"/>
        <v>0</v>
      </c>
      <c r="BR224" s="65">
        <f t="shared" si="1146"/>
        <v>0</v>
      </c>
      <c r="BS224" s="65">
        <f t="shared" si="1147"/>
        <v>0</v>
      </c>
      <c r="BT224" s="65">
        <f t="shared" si="1148"/>
        <v>0</v>
      </c>
      <c r="BU224" s="65">
        <f t="shared" si="1149"/>
        <v>0</v>
      </c>
      <c r="BV224" s="65">
        <f t="shared" si="1150"/>
        <v>0</v>
      </c>
      <c r="BW224" s="65">
        <f t="shared" si="1151"/>
        <v>0</v>
      </c>
      <c r="BX224" s="6"/>
      <c r="BY224" s="6"/>
      <c r="BZ224" s="6"/>
      <c r="CA224" s="6"/>
      <c r="CB224" s="6"/>
      <c r="CC224" s="6"/>
      <c r="CD224" s="6"/>
      <c r="CE224" s="6"/>
      <c r="CF224" s="6"/>
      <c r="CG224" s="6"/>
    </row>
    <row r="225" spans="1:85" ht="15.75" customHeight="1">
      <c r="A225" s="68"/>
      <c r="B225" s="103"/>
      <c r="C225" s="68" t="s">
        <v>364</v>
      </c>
      <c r="D225" s="70" t="s">
        <v>365</v>
      </c>
      <c r="E225" s="57">
        <v>0</v>
      </c>
      <c r="F225" s="57">
        <v>0</v>
      </c>
      <c r="G225" s="58">
        <f t="shared" si="1135"/>
        <v>0</v>
      </c>
      <c r="H225" s="57">
        <v>0</v>
      </c>
      <c r="I225" s="59">
        <f t="shared" si="732"/>
        <v>0</v>
      </c>
      <c r="J225" s="59">
        <f t="shared" si="733"/>
        <v>0</v>
      </c>
      <c r="K225" s="74">
        <v>0</v>
      </c>
      <c r="L225" s="74">
        <v>0</v>
      </c>
      <c r="M225" s="74">
        <v>0</v>
      </c>
      <c r="N225" s="74">
        <v>0</v>
      </c>
      <c r="O225" s="61">
        <f t="shared" ref="O225:Q225" si="1200">AA225+AD225+AG225+AJ225+AM225+AP225+AS225+AV225+AY225+BB225+BE225+BH225</f>
        <v>0</v>
      </c>
      <c r="P225" s="61">
        <f t="shared" si="1200"/>
        <v>0</v>
      </c>
      <c r="Q225" s="61">
        <f t="shared" si="1200"/>
        <v>0</v>
      </c>
      <c r="R225" s="61">
        <f t="shared" ref="R225:T225" si="1201">IF(BK225=0,SUM(AA225+AD225+AG225+AJ225+AM225+AP225+AS225+AV225+AY225+BB225+BE225+BH225),BK225)</f>
        <v>0</v>
      </c>
      <c r="S225" s="61">
        <f t="shared" si="1201"/>
        <v>0</v>
      </c>
      <c r="T225" s="61">
        <f t="shared" si="1201"/>
        <v>0</v>
      </c>
      <c r="U225" s="63">
        <f t="shared" si="1138"/>
        <v>0</v>
      </c>
      <c r="V225" s="63">
        <f t="shared" si="1139"/>
        <v>0</v>
      </c>
      <c r="W225" s="63">
        <f t="shared" si="1140"/>
        <v>0</v>
      </c>
      <c r="X225" s="64">
        <f t="shared" ref="X225:Y225" si="1202">IF(O225&gt;0,O225/K225,0)</f>
        <v>0</v>
      </c>
      <c r="Y225" s="64">
        <f t="shared" si="1202"/>
        <v>0</v>
      </c>
      <c r="Z225" s="64">
        <f t="shared" si="1014"/>
        <v>0</v>
      </c>
      <c r="AA225" s="65"/>
      <c r="AB225" s="65"/>
      <c r="AC225" s="65"/>
      <c r="AD225" s="65"/>
      <c r="AE225" s="66"/>
      <c r="AF225" s="66"/>
      <c r="AG225" s="66"/>
      <c r="AH225" s="66"/>
      <c r="AI225" s="65"/>
      <c r="AJ225" s="65"/>
      <c r="AK225" s="65"/>
      <c r="AL225" s="65"/>
      <c r="AM225" s="65"/>
      <c r="AN225" s="65"/>
      <c r="AO225" s="65"/>
      <c r="AP225" s="65"/>
      <c r="AQ225" s="65"/>
      <c r="AR225" s="65"/>
      <c r="AS225" s="65"/>
      <c r="AT225" s="65"/>
      <c r="AU225" s="65"/>
      <c r="AV225" s="65"/>
      <c r="AW225" s="65"/>
      <c r="AX225" s="65"/>
      <c r="AY225" s="65"/>
      <c r="AZ225" s="65"/>
      <c r="BA225" s="65"/>
      <c r="BB225" s="65"/>
      <c r="BC225" s="65"/>
      <c r="BD225" s="65"/>
      <c r="BE225" s="65"/>
      <c r="BF225" s="65"/>
      <c r="BG225" s="65"/>
      <c r="BH225" s="237"/>
      <c r="BI225" s="237"/>
      <c r="BJ225" s="237"/>
      <c r="BK225" s="65">
        <v>0</v>
      </c>
      <c r="BL225" s="65">
        <v>0</v>
      </c>
      <c r="BM225" s="65">
        <v>0</v>
      </c>
      <c r="BN225" s="65">
        <f t="shared" si="1142"/>
        <v>0</v>
      </c>
      <c r="BO225" s="67">
        <f t="shared" si="1143"/>
        <v>0</v>
      </c>
      <c r="BP225" s="65">
        <f t="shared" si="1144"/>
        <v>0</v>
      </c>
      <c r="BQ225" s="65">
        <f t="shared" si="1145"/>
        <v>0</v>
      </c>
      <c r="BR225" s="65">
        <f t="shared" si="1146"/>
        <v>0</v>
      </c>
      <c r="BS225" s="65">
        <f t="shared" si="1147"/>
        <v>0</v>
      </c>
      <c r="BT225" s="65">
        <f t="shared" si="1148"/>
        <v>0</v>
      </c>
      <c r="BU225" s="65">
        <f t="shared" si="1149"/>
        <v>0</v>
      </c>
      <c r="BV225" s="65">
        <f t="shared" si="1150"/>
        <v>0</v>
      </c>
      <c r="BW225" s="65">
        <f t="shared" si="1151"/>
        <v>0</v>
      </c>
      <c r="BX225" s="6"/>
      <c r="BY225" s="6"/>
      <c r="BZ225" s="6"/>
      <c r="CA225" s="6"/>
      <c r="CB225" s="6"/>
      <c r="CC225" s="6"/>
      <c r="CD225" s="6"/>
      <c r="CE225" s="6"/>
      <c r="CF225" s="6"/>
      <c r="CG225" s="6"/>
    </row>
    <row r="226" spans="1:85" ht="15.75" customHeight="1">
      <c r="A226" s="68"/>
      <c r="B226" s="103"/>
      <c r="C226" s="68" t="s">
        <v>133</v>
      </c>
      <c r="D226" s="70" t="s">
        <v>366</v>
      </c>
      <c r="E226" s="57">
        <v>0</v>
      </c>
      <c r="F226" s="57">
        <v>0</v>
      </c>
      <c r="G226" s="58">
        <f t="shared" si="1135"/>
        <v>0</v>
      </c>
      <c r="H226" s="57">
        <v>0</v>
      </c>
      <c r="I226" s="59">
        <f t="shared" si="732"/>
        <v>0</v>
      </c>
      <c r="J226" s="59">
        <f t="shared" si="733"/>
        <v>0</v>
      </c>
      <c r="K226" s="74">
        <v>0</v>
      </c>
      <c r="L226" s="74">
        <v>0</v>
      </c>
      <c r="M226" s="74">
        <v>0</v>
      </c>
      <c r="N226" s="74">
        <v>0</v>
      </c>
      <c r="O226" s="61">
        <f t="shared" ref="O226:Q226" si="1203">AA226+AD226+AG226+AJ226+AM226+AP226+AS226+AV226+AY226+BB226+BE226+BH226</f>
        <v>0</v>
      </c>
      <c r="P226" s="61">
        <f t="shared" si="1203"/>
        <v>0</v>
      </c>
      <c r="Q226" s="61">
        <f t="shared" si="1203"/>
        <v>0</v>
      </c>
      <c r="R226" s="61">
        <f t="shared" ref="R226:T226" si="1204">IF(BK226=0,SUM(AA226+AD226+AG226+AJ226+AM226+AP226+AS226+AV226+AY226+BB226+BE226+BH226),BK226)</f>
        <v>0</v>
      </c>
      <c r="S226" s="61">
        <f t="shared" si="1204"/>
        <v>0</v>
      </c>
      <c r="T226" s="61">
        <f t="shared" si="1204"/>
        <v>0</v>
      </c>
      <c r="U226" s="63">
        <f t="shared" si="1138"/>
        <v>0</v>
      </c>
      <c r="V226" s="63">
        <f t="shared" si="1139"/>
        <v>0</v>
      </c>
      <c r="W226" s="63">
        <f t="shared" si="1140"/>
        <v>0</v>
      </c>
      <c r="X226" s="64">
        <f t="shared" ref="X226:Y226" si="1205">IF(O226&gt;0,O226/K226,0)</f>
        <v>0</v>
      </c>
      <c r="Y226" s="64">
        <f t="shared" si="1205"/>
        <v>0</v>
      </c>
      <c r="Z226" s="64">
        <f t="shared" si="1014"/>
        <v>0</v>
      </c>
      <c r="AA226" s="65"/>
      <c r="AB226" s="65"/>
      <c r="AC226" s="65"/>
      <c r="AD226" s="65"/>
      <c r="AE226" s="66"/>
      <c r="AF226" s="66"/>
      <c r="AG226" s="66"/>
      <c r="AH226" s="66"/>
      <c r="AI226" s="65"/>
      <c r="AJ226" s="65"/>
      <c r="AK226" s="65"/>
      <c r="AL226" s="65"/>
      <c r="AM226" s="65"/>
      <c r="AN226" s="65"/>
      <c r="AO226" s="65"/>
      <c r="AP226" s="65"/>
      <c r="AQ226" s="65"/>
      <c r="AR226" s="65"/>
      <c r="AS226" s="65"/>
      <c r="AT226" s="65"/>
      <c r="AU226" s="65"/>
      <c r="AV226" s="65"/>
      <c r="AW226" s="65"/>
      <c r="AX226" s="65"/>
      <c r="AY226" s="65"/>
      <c r="AZ226" s="65"/>
      <c r="BA226" s="65"/>
      <c r="BB226" s="65"/>
      <c r="BC226" s="65"/>
      <c r="BD226" s="65"/>
      <c r="BE226" s="65"/>
      <c r="BF226" s="65"/>
      <c r="BG226" s="65"/>
      <c r="BH226" s="237"/>
      <c r="BI226" s="237"/>
      <c r="BJ226" s="237"/>
      <c r="BK226" s="65">
        <v>0</v>
      </c>
      <c r="BL226" s="65">
        <v>0</v>
      </c>
      <c r="BM226" s="65">
        <v>0</v>
      </c>
      <c r="BN226" s="65">
        <f t="shared" si="1142"/>
        <v>0</v>
      </c>
      <c r="BO226" s="67">
        <f t="shared" si="1143"/>
        <v>0</v>
      </c>
      <c r="BP226" s="65">
        <f t="shared" si="1144"/>
        <v>0</v>
      </c>
      <c r="BQ226" s="65">
        <f t="shared" si="1145"/>
        <v>0</v>
      </c>
      <c r="BR226" s="65">
        <f t="shared" si="1146"/>
        <v>0</v>
      </c>
      <c r="BS226" s="65">
        <f t="shared" si="1147"/>
        <v>0</v>
      </c>
      <c r="BT226" s="65">
        <f t="shared" si="1148"/>
        <v>0</v>
      </c>
      <c r="BU226" s="65">
        <f t="shared" si="1149"/>
        <v>0</v>
      </c>
      <c r="BV226" s="65">
        <f t="shared" si="1150"/>
        <v>0</v>
      </c>
      <c r="BW226" s="65">
        <f t="shared" si="1151"/>
        <v>0</v>
      </c>
      <c r="BX226" s="6"/>
      <c r="BY226" s="6"/>
      <c r="BZ226" s="6"/>
      <c r="CA226" s="6"/>
      <c r="CB226" s="6"/>
      <c r="CC226" s="6"/>
      <c r="CD226" s="6"/>
      <c r="CE226" s="6"/>
      <c r="CF226" s="6"/>
      <c r="CG226" s="6"/>
    </row>
    <row r="227" spans="1:85" ht="15.75">
      <c r="A227" s="75"/>
      <c r="B227" s="76"/>
      <c r="C227" s="77"/>
      <c r="D227" s="78" t="s">
        <v>234</v>
      </c>
      <c r="E227" s="45">
        <f t="shared" ref="E227:H227" si="1206">SUM(E228:E236)</f>
        <v>49000</v>
      </c>
      <c r="F227" s="45">
        <f t="shared" si="1206"/>
        <v>0</v>
      </c>
      <c r="G227" s="45">
        <f t="shared" si="1206"/>
        <v>49000</v>
      </c>
      <c r="H227" s="45">
        <f t="shared" si="1206"/>
        <v>0</v>
      </c>
      <c r="I227" s="47">
        <f t="shared" si="732"/>
        <v>2.4249124489795921</v>
      </c>
      <c r="J227" s="47">
        <f t="shared" si="733"/>
        <v>0.5632551020408163</v>
      </c>
      <c r="K227" s="45">
        <f t="shared" ref="K227:W227" si="1207">SUM(K228:K236)</f>
        <v>118820.71</v>
      </c>
      <c r="L227" s="45">
        <f t="shared" si="1207"/>
        <v>23068.559999999998</v>
      </c>
      <c r="M227" s="45">
        <f t="shared" si="1207"/>
        <v>0</v>
      </c>
      <c r="N227" s="45">
        <f t="shared" si="1207"/>
        <v>0</v>
      </c>
      <c r="O227" s="45">
        <f t="shared" si="1207"/>
        <v>27599.5</v>
      </c>
      <c r="P227" s="45">
        <f t="shared" si="1207"/>
        <v>15502.56</v>
      </c>
      <c r="Q227" s="45">
        <f t="shared" si="1207"/>
        <v>0</v>
      </c>
      <c r="R227" s="45">
        <f t="shared" si="1207"/>
        <v>27599.5</v>
      </c>
      <c r="S227" s="45">
        <f t="shared" si="1207"/>
        <v>15502.56</v>
      </c>
      <c r="T227" s="45">
        <f t="shared" si="1207"/>
        <v>0</v>
      </c>
      <c r="U227" s="45">
        <f t="shared" si="1207"/>
        <v>91221.209999999992</v>
      </c>
      <c r="V227" s="45">
        <f t="shared" si="1207"/>
        <v>7566</v>
      </c>
      <c r="W227" s="45">
        <f t="shared" si="1207"/>
        <v>0</v>
      </c>
      <c r="X227" s="50">
        <f t="shared" ref="X227:Y227" si="1208">IF(O227&gt;0,O227/K227,0)</f>
        <v>0.23227853124257547</v>
      </c>
      <c r="Y227" s="50">
        <f t="shared" si="1208"/>
        <v>0.67202114046130323</v>
      </c>
      <c r="Z227" s="50">
        <f t="shared" si="1014"/>
        <v>0</v>
      </c>
      <c r="AA227" s="45">
        <f t="shared" ref="AA227:BW227" si="1209">SUM(AA228:AA236)</f>
        <v>0</v>
      </c>
      <c r="AB227" s="45">
        <f t="shared" si="1209"/>
        <v>554.52</v>
      </c>
      <c r="AC227" s="45">
        <f t="shared" si="1209"/>
        <v>0</v>
      </c>
      <c r="AD227" s="45">
        <f t="shared" si="1209"/>
        <v>0</v>
      </c>
      <c r="AE227" s="45">
        <f t="shared" si="1209"/>
        <v>7282.52</v>
      </c>
      <c r="AF227" s="45">
        <f t="shared" si="1209"/>
        <v>0</v>
      </c>
      <c r="AG227" s="45">
        <f t="shared" si="1209"/>
        <v>5927.2999999999993</v>
      </c>
      <c r="AH227" s="45">
        <f t="shared" si="1209"/>
        <v>554.52</v>
      </c>
      <c r="AI227" s="45">
        <f t="shared" si="1209"/>
        <v>0</v>
      </c>
      <c r="AJ227" s="45">
        <f t="shared" si="1209"/>
        <v>7194.12</v>
      </c>
      <c r="AK227" s="45">
        <f t="shared" si="1209"/>
        <v>0</v>
      </c>
      <c r="AL227" s="45">
        <f t="shared" si="1209"/>
        <v>0</v>
      </c>
      <c r="AM227" s="45">
        <f t="shared" si="1209"/>
        <v>7161.7</v>
      </c>
      <c r="AN227" s="45">
        <f t="shared" si="1209"/>
        <v>0</v>
      </c>
      <c r="AO227" s="45">
        <f t="shared" si="1209"/>
        <v>0</v>
      </c>
      <c r="AP227" s="45">
        <f t="shared" si="1209"/>
        <v>7316.38</v>
      </c>
      <c r="AQ227" s="45">
        <f t="shared" si="1209"/>
        <v>7111</v>
      </c>
      <c r="AR227" s="45">
        <f t="shared" si="1209"/>
        <v>0</v>
      </c>
      <c r="AS227" s="45">
        <f t="shared" si="1209"/>
        <v>0</v>
      </c>
      <c r="AT227" s="45">
        <f t="shared" si="1209"/>
        <v>0</v>
      </c>
      <c r="AU227" s="45">
        <f t="shared" si="1209"/>
        <v>0</v>
      </c>
      <c r="AV227" s="45">
        <f t="shared" si="1209"/>
        <v>0</v>
      </c>
      <c r="AW227" s="45">
        <f t="shared" si="1209"/>
        <v>0</v>
      </c>
      <c r="AX227" s="45">
        <f t="shared" si="1209"/>
        <v>0</v>
      </c>
      <c r="AY227" s="45">
        <f t="shared" si="1209"/>
        <v>0</v>
      </c>
      <c r="AZ227" s="45">
        <f t="shared" si="1209"/>
        <v>0</v>
      </c>
      <c r="BA227" s="45">
        <f t="shared" si="1209"/>
        <v>0</v>
      </c>
      <c r="BB227" s="45">
        <f t="shared" si="1209"/>
        <v>0</v>
      </c>
      <c r="BC227" s="45">
        <f t="shared" si="1209"/>
        <v>0</v>
      </c>
      <c r="BD227" s="45">
        <f t="shared" si="1209"/>
        <v>0</v>
      </c>
      <c r="BE227" s="45">
        <f t="shared" si="1209"/>
        <v>0</v>
      </c>
      <c r="BF227" s="45">
        <f t="shared" si="1209"/>
        <v>0</v>
      </c>
      <c r="BG227" s="45">
        <f t="shared" si="1209"/>
        <v>0</v>
      </c>
      <c r="BH227" s="45">
        <f t="shared" si="1209"/>
        <v>0</v>
      </c>
      <c r="BI227" s="45">
        <f t="shared" si="1209"/>
        <v>0</v>
      </c>
      <c r="BJ227" s="45">
        <f t="shared" si="1209"/>
        <v>0</v>
      </c>
      <c r="BK227" s="45">
        <f t="shared" si="1209"/>
        <v>0</v>
      </c>
      <c r="BL227" s="45">
        <f t="shared" si="1209"/>
        <v>0</v>
      </c>
      <c r="BM227" s="45">
        <f t="shared" si="1209"/>
        <v>0</v>
      </c>
      <c r="BN227" s="45">
        <f t="shared" si="1209"/>
        <v>27599.5</v>
      </c>
      <c r="BO227" s="45">
        <f t="shared" si="1209"/>
        <v>0</v>
      </c>
      <c r="BP227" s="45">
        <f t="shared" si="1209"/>
        <v>27599.5</v>
      </c>
      <c r="BQ227" s="45">
        <f t="shared" si="1209"/>
        <v>91221.209999999992</v>
      </c>
      <c r="BR227" s="45">
        <f t="shared" si="1209"/>
        <v>0</v>
      </c>
      <c r="BS227" s="45">
        <f t="shared" si="1209"/>
        <v>91221.209999999992</v>
      </c>
      <c r="BT227" s="45">
        <f t="shared" si="1209"/>
        <v>7566</v>
      </c>
      <c r="BU227" s="45">
        <f t="shared" si="1209"/>
        <v>27599.5</v>
      </c>
      <c r="BV227" s="45">
        <f t="shared" si="1209"/>
        <v>91221.209999999992</v>
      </c>
      <c r="BW227" s="45">
        <f t="shared" si="1209"/>
        <v>126386.71</v>
      </c>
      <c r="BX227" s="51"/>
      <c r="BY227" s="51"/>
      <c r="BZ227" s="51"/>
      <c r="CA227" s="51"/>
      <c r="CB227" s="51"/>
      <c r="CC227" s="51"/>
      <c r="CD227" s="51"/>
      <c r="CE227" s="51"/>
      <c r="CF227" s="51"/>
      <c r="CG227" s="51"/>
    </row>
    <row r="228" spans="1:85" ht="15.75" customHeight="1">
      <c r="A228" s="68"/>
      <c r="B228" s="68" t="s">
        <v>367</v>
      </c>
      <c r="C228" s="68" t="s">
        <v>368</v>
      </c>
      <c r="D228" s="70" t="s">
        <v>369</v>
      </c>
      <c r="E228" s="57">
        <v>0</v>
      </c>
      <c r="F228" s="57">
        <v>0</v>
      </c>
      <c r="G228" s="58">
        <f t="shared" ref="G228:G236" si="1210">E228-F228</f>
        <v>0</v>
      </c>
      <c r="H228" s="57">
        <v>0</v>
      </c>
      <c r="I228" s="59">
        <f t="shared" si="732"/>
        <v>0</v>
      </c>
      <c r="J228" s="59">
        <f t="shared" si="733"/>
        <v>0</v>
      </c>
      <c r="K228" s="60">
        <v>0</v>
      </c>
      <c r="L228" s="100">
        <v>13196</v>
      </c>
      <c r="M228" s="65">
        <f>985-985</f>
        <v>0</v>
      </c>
      <c r="N228" s="60">
        <v>0</v>
      </c>
      <c r="O228" s="61">
        <f t="shared" ref="O228:Q228" si="1211">AA228+AD228+AG228+AJ228+AM228+AP228+AS228+AV228+AY228+BB228+BE228+BH228</f>
        <v>0</v>
      </c>
      <c r="P228" s="61">
        <f t="shared" si="1211"/>
        <v>7564</v>
      </c>
      <c r="Q228" s="61">
        <f t="shared" si="1211"/>
        <v>0</v>
      </c>
      <c r="R228" s="61">
        <f t="shared" ref="R228:T228" si="1212">IF(BK228=0,SUM(AA228+AD228+AG228+AJ228+AM228+AP228+AS228+AV228+AY228+BB228+BE228+BH228),BK228)</f>
        <v>0</v>
      </c>
      <c r="S228" s="61">
        <f t="shared" si="1212"/>
        <v>7564</v>
      </c>
      <c r="T228" s="61">
        <f t="shared" si="1212"/>
        <v>0</v>
      </c>
      <c r="U228" s="63">
        <f t="shared" ref="U228:U236" si="1213">K228-O228</f>
        <v>0</v>
      </c>
      <c r="V228" s="62">
        <f t="shared" ref="V228:V236" si="1214">L228-M228-S228</f>
        <v>5632</v>
      </c>
      <c r="W228" s="63">
        <f t="shared" ref="W228:W236" si="1215">N228-Q228</f>
        <v>0</v>
      </c>
      <c r="X228" s="64">
        <f t="shared" ref="X228:Y228" si="1216">IF(O228&gt;0,O228/K228,0)</f>
        <v>0</v>
      </c>
      <c r="Y228" s="64">
        <f t="shared" si="1216"/>
        <v>0.5732040012124886</v>
      </c>
      <c r="Z228" s="64">
        <f t="shared" si="1014"/>
        <v>0</v>
      </c>
      <c r="AA228" s="65"/>
      <c r="AB228" s="65"/>
      <c r="AC228" s="65"/>
      <c r="AD228" s="65"/>
      <c r="AE228" s="113">
        <v>1765</v>
      </c>
      <c r="AF228" s="66"/>
      <c r="AG228" s="66"/>
      <c r="AH228" s="66"/>
      <c r="AI228" s="65"/>
      <c r="AJ228" s="65"/>
      <c r="AK228" s="65"/>
      <c r="AL228" s="65"/>
      <c r="AM228" s="65"/>
      <c r="AN228" s="65"/>
      <c r="AO228" s="65"/>
      <c r="AP228" s="65"/>
      <c r="AQ228" s="65">
        <f>4102+1697</f>
        <v>5799</v>
      </c>
      <c r="AR228" s="65"/>
      <c r="AS228" s="65"/>
      <c r="AT228" s="65"/>
      <c r="AU228" s="65"/>
      <c r="AV228" s="65"/>
      <c r="AW228" s="65"/>
      <c r="AX228" s="65"/>
      <c r="AY228" s="65"/>
      <c r="AZ228" s="65"/>
      <c r="BA228" s="65"/>
      <c r="BB228" s="65"/>
      <c r="BC228" s="65"/>
      <c r="BD228" s="65"/>
      <c r="BE228" s="65"/>
      <c r="BF228" s="65"/>
      <c r="BG228" s="65"/>
      <c r="BH228" s="237"/>
      <c r="BI228" s="237"/>
      <c r="BJ228" s="237"/>
      <c r="BK228" s="65">
        <v>0</v>
      </c>
      <c r="BL228" s="65">
        <v>0</v>
      </c>
      <c r="BM228" s="65">
        <v>0</v>
      </c>
      <c r="BN228" s="65">
        <f t="shared" ref="BN228:BN236" si="1217">IF(O228-BK228&gt;0,O228-BK228,0)</f>
        <v>0</v>
      </c>
      <c r="BO228" s="67">
        <f t="shared" ref="BO228:BO236" si="1218">IF(Q228-BM228&gt;0,Q228-BM228,0)</f>
        <v>0</v>
      </c>
      <c r="BP228" s="65">
        <f t="shared" ref="BP228:BP236" si="1219">IF(BN228+BO228&gt;0,BN228+BO228,0)</f>
        <v>0</v>
      </c>
      <c r="BQ228" s="65">
        <f t="shared" ref="BQ228:BQ236" si="1220">IF(U228=0,0,U228)</f>
        <v>0</v>
      </c>
      <c r="BR228" s="65">
        <f t="shared" ref="BR228:BR236" si="1221">IF(W228=0,0,W228)</f>
        <v>0</v>
      </c>
      <c r="BS228" s="65">
        <f t="shared" ref="BS228:BS236" si="1222">IF(BQ228+BR228&gt;0,BQ228+BR228,0)</f>
        <v>0</v>
      </c>
      <c r="BT228" s="65">
        <f t="shared" ref="BT228:BT236" si="1223">IF(V228&gt;0,V228,0)</f>
        <v>5632</v>
      </c>
      <c r="BU228" s="65">
        <f t="shared" ref="BU228:BU236" si="1224">IF(BP228=0,0,BP228)</f>
        <v>0</v>
      </c>
      <c r="BV228" s="65">
        <f t="shared" ref="BV228:BV236" si="1225">IF(BS228=0,0,BS228)</f>
        <v>0</v>
      </c>
      <c r="BW228" s="65">
        <f t="shared" ref="BW228:BW236" si="1226">IF(BP228+BT228+BV228&gt;0,BP228+BT228+BV228,0)</f>
        <v>5632</v>
      </c>
      <c r="BX228" s="6"/>
      <c r="BY228" s="6"/>
      <c r="BZ228" s="6"/>
      <c r="CA228" s="6"/>
      <c r="CB228" s="6"/>
      <c r="CC228" s="6"/>
      <c r="CD228" s="6"/>
      <c r="CE228" s="6"/>
      <c r="CF228" s="6"/>
      <c r="CG228" s="6"/>
    </row>
    <row r="229" spans="1:85" ht="15.75" customHeight="1">
      <c r="A229" s="104" t="s">
        <v>370</v>
      </c>
      <c r="B229" s="68"/>
      <c r="C229" s="104" t="s">
        <v>371</v>
      </c>
      <c r="D229" s="193" t="s">
        <v>372</v>
      </c>
      <c r="E229" s="57">
        <v>0</v>
      </c>
      <c r="F229" s="57">
        <v>0</v>
      </c>
      <c r="G229" s="58">
        <f t="shared" si="1210"/>
        <v>0</v>
      </c>
      <c r="H229" s="57">
        <v>0</v>
      </c>
      <c r="I229" s="59">
        <f t="shared" si="732"/>
        <v>0</v>
      </c>
      <c r="J229" s="59">
        <f t="shared" si="733"/>
        <v>0</v>
      </c>
      <c r="K229" s="74">
        <v>57600</v>
      </c>
      <c r="L229" s="74"/>
      <c r="M229" s="74"/>
      <c r="N229" s="74">
        <v>0</v>
      </c>
      <c r="O229" s="61">
        <f t="shared" ref="O229:Q229" si="1227">AA229+AD229+AG229+AJ229+AM229+AP229+AS229+AV229+AY229+BB229+BE229+BH229</f>
        <v>0</v>
      </c>
      <c r="P229" s="61">
        <f t="shared" si="1227"/>
        <v>0</v>
      </c>
      <c r="Q229" s="61">
        <f t="shared" si="1227"/>
        <v>0</v>
      </c>
      <c r="R229" s="61">
        <f t="shared" ref="R229:T229" si="1228">IF(BK229=0,SUM(AA229+AD229+AG229+AJ229+AM229+AP229+AS229+AV229+AY229+BB229+BE229+BH229),BK229)</f>
        <v>0</v>
      </c>
      <c r="S229" s="61">
        <f t="shared" si="1228"/>
        <v>0</v>
      </c>
      <c r="T229" s="61">
        <f t="shared" si="1228"/>
        <v>0</v>
      </c>
      <c r="U229" s="62">
        <f t="shared" si="1213"/>
        <v>57600</v>
      </c>
      <c r="V229" s="63">
        <f t="shared" si="1214"/>
        <v>0</v>
      </c>
      <c r="W229" s="63">
        <f t="shared" si="1215"/>
        <v>0</v>
      </c>
      <c r="X229" s="64">
        <f t="shared" ref="X229:Y229" si="1229">IF(O229&gt;0,O229/K229,0)</f>
        <v>0</v>
      </c>
      <c r="Y229" s="64">
        <f t="shared" si="1229"/>
        <v>0</v>
      </c>
      <c r="Z229" s="64">
        <f t="shared" si="1014"/>
        <v>0</v>
      </c>
      <c r="AA229" s="65"/>
      <c r="AB229" s="65"/>
      <c r="AC229" s="65"/>
      <c r="AD229" s="65"/>
      <c r="AE229" s="113"/>
      <c r="AF229" s="66"/>
      <c r="AG229" s="66"/>
      <c r="AH229" s="66"/>
      <c r="AI229" s="65"/>
      <c r="AJ229" s="65"/>
      <c r="AK229" s="65"/>
      <c r="AL229" s="65"/>
      <c r="AM229" s="65"/>
      <c r="AN229" s="65"/>
      <c r="AO229" s="65"/>
      <c r="AP229" s="65"/>
      <c r="AQ229" s="65"/>
      <c r="AR229" s="65"/>
      <c r="AS229" s="65"/>
      <c r="AT229" s="65"/>
      <c r="AU229" s="65"/>
      <c r="AV229" s="65"/>
      <c r="AW229" s="65"/>
      <c r="AX229" s="65"/>
      <c r="AY229" s="65"/>
      <c r="AZ229" s="65"/>
      <c r="BA229" s="65"/>
      <c r="BB229" s="65"/>
      <c r="BC229" s="65"/>
      <c r="BD229" s="65"/>
      <c r="BE229" s="65"/>
      <c r="BF229" s="65"/>
      <c r="BG229" s="65"/>
      <c r="BH229" s="237"/>
      <c r="BI229" s="237"/>
      <c r="BJ229" s="237"/>
      <c r="BK229" s="65">
        <v>0</v>
      </c>
      <c r="BL229" s="65">
        <v>0</v>
      </c>
      <c r="BM229" s="65">
        <v>0</v>
      </c>
      <c r="BN229" s="65">
        <f t="shared" si="1217"/>
        <v>0</v>
      </c>
      <c r="BO229" s="67">
        <f t="shared" si="1218"/>
        <v>0</v>
      </c>
      <c r="BP229" s="65">
        <f t="shared" si="1219"/>
        <v>0</v>
      </c>
      <c r="BQ229" s="65">
        <f t="shared" si="1220"/>
        <v>57600</v>
      </c>
      <c r="BR229" s="65">
        <f t="shared" si="1221"/>
        <v>0</v>
      </c>
      <c r="BS229" s="65">
        <f t="shared" si="1222"/>
        <v>57600</v>
      </c>
      <c r="BT229" s="65">
        <f t="shared" si="1223"/>
        <v>0</v>
      </c>
      <c r="BU229" s="65">
        <f t="shared" si="1224"/>
        <v>0</v>
      </c>
      <c r="BV229" s="65">
        <f t="shared" si="1225"/>
        <v>57600</v>
      </c>
      <c r="BW229" s="65">
        <f t="shared" si="1226"/>
        <v>57600</v>
      </c>
      <c r="BX229" s="51"/>
      <c r="BY229" s="51"/>
      <c r="BZ229" s="51"/>
      <c r="CA229" s="51"/>
      <c r="CB229" s="51"/>
      <c r="CC229" s="51"/>
      <c r="CD229" s="51"/>
      <c r="CE229" s="51"/>
      <c r="CF229" s="51"/>
      <c r="CG229" s="51"/>
    </row>
    <row r="230" spans="1:85" ht="15.75" customHeight="1">
      <c r="A230" s="104" t="s">
        <v>373</v>
      </c>
      <c r="B230" s="68"/>
      <c r="C230" s="265" t="s">
        <v>374</v>
      </c>
      <c r="D230" s="190" t="s">
        <v>375</v>
      </c>
      <c r="E230" s="57">
        <v>0</v>
      </c>
      <c r="F230" s="57">
        <v>0</v>
      </c>
      <c r="G230" s="58">
        <f t="shared" si="1210"/>
        <v>0</v>
      </c>
      <c r="H230" s="57">
        <v>0</v>
      </c>
      <c r="I230" s="59">
        <f t="shared" si="732"/>
        <v>0</v>
      </c>
      <c r="J230" s="59">
        <f t="shared" si="733"/>
        <v>0</v>
      </c>
      <c r="K230" s="74">
        <f>2647+12435</f>
        <v>15082</v>
      </c>
      <c r="L230" s="74">
        <v>0</v>
      </c>
      <c r="M230" s="74">
        <v>0</v>
      </c>
      <c r="N230" s="74">
        <v>0</v>
      </c>
      <c r="O230" s="63">
        <f t="shared" ref="O230:Q230" si="1230">AA230+AD230+AG230+AJ230+AM230+AP230+AS230+AV230+AY230+BB230+BE230+BH230</f>
        <v>11331.78</v>
      </c>
      <c r="P230" s="61">
        <f t="shared" si="1230"/>
        <v>0</v>
      </c>
      <c r="Q230" s="61">
        <f t="shared" si="1230"/>
        <v>0</v>
      </c>
      <c r="R230" s="61">
        <f t="shared" ref="R230:T230" si="1231">IF(BK230=0,SUM(AA230+AD230+AG230+AJ230+AM230+AP230+AS230+AV230+AY230+BB230+BE230+BH230),BK230)</f>
        <v>11331.78</v>
      </c>
      <c r="S230" s="61">
        <f t="shared" si="1231"/>
        <v>0</v>
      </c>
      <c r="T230" s="61">
        <f t="shared" si="1231"/>
        <v>0</v>
      </c>
      <c r="U230" s="62">
        <f t="shared" si="1213"/>
        <v>3750.2199999999993</v>
      </c>
      <c r="V230" s="63">
        <f t="shared" si="1214"/>
        <v>0</v>
      </c>
      <c r="W230" s="63">
        <f t="shared" si="1215"/>
        <v>0</v>
      </c>
      <c r="X230" s="64">
        <f t="shared" ref="X230:Y230" si="1232">IF(O230&gt;0,O230/K230,0)</f>
        <v>0.7513446492507625</v>
      </c>
      <c r="Y230" s="64">
        <f t="shared" si="1232"/>
        <v>0</v>
      </c>
      <c r="Z230" s="64">
        <f t="shared" si="1014"/>
        <v>0</v>
      </c>
      <c r="AA230" s="65"/>
      <c r="AB230" s="65"/>
      <c r="AC230" s="65"/>
      <c r="AD230" s="65"/>
      <c r="AE230" s="66"/>
      <c r="AF230" s="66"/>
      <c r="AG230" s="66">
        <f>2293.2</f>
        <v>2293.1999999999998</v>
      </c>
      <c r="AH230" s="66"/>
      <c r="AI230" s="65"/>
      <c r="AJ230" s="100">
        <v>3061.42</v>
      </c>
      <c r="AK230" s="65"/>
      <c r="AL230" s="65"/>
      <c r="AM230" s="65">
        <f>2911.24</f>
        <v>2911.24</v>
      </c>
      <c r="AN230" s="65"/>
      <c r="AO230" s="65"/>
      <c r="AP230" s="65">
        <f>3065.92</f>
        <v>3065.92</v>
      </c>
      <c r="AQ230" s="65"/>
      <c r="AR230" s="65"/>
      <c r="AS230" s="65"/>
      <c r="AT230" s="65"/>
      <c r="AU230" s="65"/>
      <c r="AV230" s="65"/>
      <c r="AW230" s="65"/>
      <c r="AX230" s="65"/>
      <c r="AY230" s="65"/>
      <c r="AZ230" s="65"/>
      <c r="BA230" s="65"/>
      <c r="BB230" s="65"/>
      <c r="BC230" s="65"/>
      <c r="BD230" s="65"/>
      <c r="BE230" s="65"/>
      <c r="BF230" s="65"/>
      <c r="BG230" s="65"/>
      <c r="BH230" s="237"/>
      <c r="BI230" s="237"/>
      <c r="BJ230" s="237"/>
      <c r="BK230" s="65">
        <v>0</v>
      </c>
      <c r="BL230" s="65">
        <v>0</v>
      </c>
      <c r="BM230" s="65">
        <v>0</v>
      </c>
      <c r="BN230" s="65">
        <f t="shared" si="1217"/>
        <v>11331.78</v>
      </c>
      <c r="BO230" s="67">
        <f t="shared" si="1218"/>
        <v>0</v>
      </c>
      <c r="BP230" s="65">
        <f t="shared" si="1219"/>
        <v>11331.78</v>
      </c>
      <c r="BQ230" s="65">
        <f t="shared" si="1220"/>
        <v>3750.2199999999993</v>
      </c>
      <c r="BR230" s="65">
        <f t="shared" si="1221"/>
        <v>0</v>
      </c>
      <c r="BS230" s="65">
        <f t="shared" si="1222"/>
        <v>3750.2199999999993</v>
      </c>
      <c r="BT230" s="65">
        <f t="shared" si="1223"/>
        <v>0</v>
      </c>
      <c r="BU230" s="65">
        <f t="shared" si="1224"/>
        <v>11331.78</v>
      </c>
      <c r="BV230" s="65">
        <f t="shared" si="1225"/>
        <v>3750.2199999999993</v>
      </c>
      <c r="BW230" s="65">
        <f t="shared" si="1226"/>
        <v>15082</v>
      </c>
      <c r="BX230" s="51"/>
      <c r="BY230" s="51"/>
      <c r="BZ230" s="51"/>
      <c r="CA230" s="51"/>
      <c r="CB230" s="51"/>
      <c r="CC230" s="51"/>
      <c r="CD230" s="51"/>
      <c r="CE230" s="51"/>
      <c r="CF230" s="51"/>
      <c r="CG230" s="51"/>
    </row>
    <row r="231" spans="1:85" ht="15.75" customHeight="1">
      <c r="A231" s="104" t="s">
        <v>376</v>
      </c>
      <c r="B231" s="71" t="s">
        <v>377</v>
      </c>
      <c r="C231" s="68" t="s">
        <v>378</v>
      </c>
      <c r="D231" s="70" t="s">
        <v>379</v>
      </c>
      <c r="E231" s="57">
        <v>0</v>
      </c>
      <c r="F231" s="57">
        <v>0</v>
      </c>
      <c r="G231" s="58">
        <f t="shared" si="1210"/>
        <v>0</v>
      </c>
      <c r="H231" s="57">
        <v>0</v>
      </c>
      <c r="I231" s="59">
        <f t="shared" si="732"/>
        <v>0</v>
      </c>
      <c r="J231" s="59">
        <f t="shared" si="733"/>
        <v>0</v>
      </c>
      <c r="K231" s="74">
        <f>602.14-364.04+602.14+1204.28+1806.42+2408.56</f>
        <v>6259.5</v>
      </c>
      <c r="L231" s="100">
        <v>1663.56</v>
      </c>
      <c r="M231" s="74">
        <v>0</v>
      </c>
      <c r="N231" s="74">
        <v>0</v>
      </c>
      <c r="O231" s="63">
        <f t="shared" ref="O231:Q231" si="1233">AA231+AD231+AG231+AJ231+AM231+AP231+AS231+AV231+AY231+BB231+BE231+BH231</f>
        <v>2044.52</v>
      </c>
      <c r="P231" s="61">
        <f t="shared" si="1233"/>
        <v>1663.56</v>
      </c>
      <c r="Q231" s="61">
        <f t="shared" si="1233"/>
        <v>0</v>
      </c>
      <c r="R231" s="61">
        <f t="shared" ref="R231:T231" si="1234">IF(BK231=0,SUM(AA231+AD231+AG231+AJ231+AM231+AP231+AS231+AV231+AY231+BB231+BE231+BH231),BK231)</f>
        <v>2044.52</v>
      </c>
      <c r="S231" s="61">
        <f t="shared" si="1234"/>
        <v>1663.56</v>
      </c>
      <c r="T231" s="61">
        <f t="shared" si="1234"/>
        <v>0</v>
      </c>
      <c r="U231" s="62">
        <f t="shared" si="1213"/>
        <v>4214.9799999999996</v>
      </c>
      <c r="V231" s="63">
        <f t="shared" si="1214"/>
        <v>0</v>
      </c>
      <c r="W231" s="63">
        <f t="shared" si="1215"/>
        <v>0</v>
      </c>
      <c r="X231" s="64">
        <f t="shared" ref="X231:Y231" si="1235">IF(O231&gt;0,O231/K231,0)</f>
        <v>0.32662672737439091</v>
      </c>
      <c r="Y231" s="64">
        <f t="shared" si="1235"/>
        <v>1</v>
      </c>
      <c r="Z231" s="64">
        <f t="shared" si="1014"/>
        <v>0</v>
      </c>
      <c r="AA231" s="65"/>
      <c r="AB231" s="100">
        <v>554.52</v>
      </c>
      <c r="AC231" s="65"/>
      <c r="AD231" s="65"/>
      <c r="AE231" s="113">
        <v>554.52</v>
      </c>
      <c r="AF231" s="66"/>
      <c r="AG231" s="66">
        <f>238.1</f>
        <v>238.1</v>
      </c>
      <c r="AH231" s="113">
        <v>554.52</v>
      </c>
      <c r="AI231" s="65"/>
      <c r="AJ231" s="100">
        <v>602.14</v>
      </c>
      <c r="AK231" s="65"/>
      <c r="AL231" s="65"/>
      <c r="AM231" s="100">
        <v>602.14</v>
      </c>
      <c r="AN231" s="65"/>
      <c r="AO231" s="65"/>
      <c r="AP231" s="65">
        <f>602.14</f>
        <v>602.14</v>
      </c>
      <c r="AQ231" s="65"/>
      <c r="AR231" s="65"/>
      <c r="AS231" s="65"/>
      <c r="AT231" s="65"/>
      <c r="AU231" s="65"/>
      <c r="AV231" s="65"/>
      <c r="AW231" s="65"/>
      <c r="AX231" s="65"/>
      <c r="AY231" s="65"/>
      <c r="AZ231" s="65"/>
      <c r="BA231" s="65"/>
      <c r="BB231" s="65"/>
      <c r="BC231" s="65"/>
      <c r="BD231" s="65"/>
      <c r="BE231" s="65"/>
      <c r="BF231" s="65"/>
      <c r="BG231" s="65"/>
      <c r="BH231" s="237"/>
      <c r="BI231" s="237"/>
      <c r="BJ231" s="237"/>
      <c r="BK231" s="65">
        <v>0</v>
      </c>
      <c r="BL231" s="65">
        <v>0</v>
      </c>
      <c r="BM231" s="65">
        <v>0</v>
      </c>
      <c r="BN231" s="65">
        <f t="shared" si="1217"/>
        <v>2044.52</v>
      </c>
      <c r="BO231" s="67">
        <f t="shared" si="1218"/>
        <v>0</v>
      </c>
      <c r="BP231" s="65">
        <f t="shared" si="1219"/>
        <v>2044.52</v>
      </c>
      <c r="BQ231" s="65">
        <f t="shared" si="1220"/>
        <v>4214.9799999999996</v>
      </c>
      <c r="BR231" s="65">
        <f t="shared" si="1221"/>
        <v>0</v>
      </c>
      <c r="BS231" s="65">
        <f t="shared" si="1222"/>
        <v>4214.9799999999996</v>
      </c>
      <c r="BT231" s="65">
        <f t="shared" si="1223"/>
        <v>0</v>
      </c>
      <c r="BU231" s="65">
        <f t="shared" si="1224"/>
        <v>2044.52</v>
      </c>
      <c r="BV231" s="65">
        <f t="shared" si="1225"/>
        <v>4214.9799999999996</v>
      </c>
      <c r="BW231" s="65">
        <f t="shared" si="1226"/>
        <v>6259.5</v>
      </c>
      <c r="BX231" s="6"/>
      <c r="BY231" s="6"/>
      <c r="BZ231" s="6"/>
      <c r="CA231" s="6"/>
      <c r="CB231" s="6"/>
      <c r="CC231" s="6"/>
      <c r="CD231" s="6"/>
      <c r="CE231" s="6"/>
      <c r="CF231" s="6"/>
      <c r="CG231" s="6"/>
    </row>
    <row r="232" spans="1:85" ht="15.75" customHeight="1">
      <c r="A232" s="121"/>
      <c r="B232" s="121" t="s">
        <v>380</v>
      </c>
      <c r="C232" s="68" t="s">
        <v>378</v>
      </c>
      <c r="D232" s="70" t="s">
        <v>381</v>
      </c>
      <c r="E232" s="57">
        <v>0</v>
      </c>
      <c r="F232" s="57">
        <v>0</v>
      </c>
      <c r="G232" s="58">
        <f t="shared" si="1210"/>
        <v>0</v>
      </c>
      <c r="H232" s="57">
        <v>0</v>
      </c>
      <c r="I232" s="59">
        <f t="shared" si="732"/>
        <v>0</v>
      </c>
      <c r="J232" s="59">
        <f t="shared" si="733"/>
        <v>0</v>
      </c>
      <c r="K232" s="74">
        <v>0</v>
      </c>
      <c r="L232" s="100">
        <v>3693</v>
      </c>
      <c r="M232" s="74">
        <v>0</v>
      </c>
      <c r="N232" s="74">
        <v>0</v>
      </c>
      <c r="O232" s="63">
        <f t="shared" ref="O232:Q232" si="1236">AA232+AD232+AG232+AJ232+AM232+AP232+AS232+AV232+AY232+BB232+BE232+BH232</f>
        <v>0</v>
      </c>
      <c r="P232" s="61">
        <f t="shared" si="1236"/>
        <v>1759</v>
      </c>
      <c r="Q232" s="61">
        <f t="shared" si="1236"/>
        <v>0</v>
      </c>
      <c r="R232" s="61">
        <f t="shared" ref="R232:T232" si="1237">IF(BK232=0,SUM(AA232+AD232+AG232+AJ232+AM232+AP232+AS232+AV232+AY232+BB232+BE232+BH232),BK232)</f>
        <v>0</v>
      </c>
      <c r="S232" s="61">
        <f t="shared" si="1237"/>
        <v>1759</v>
      </c>
      <c r="T232" s="61">
        <f t="shared" si="1237"/>
        <v>0</v>
      </c>
      <c r="U232" s="63">
        <f t="shared" si="1213"/>
        <v>0</v>
      </c>
      <c r="V232" s="170">
        <f t="shared" si="1214"/>
        <v>1934</v>
      </c>
      <c r="W232" s="63">
        <f t="shared" si="1215"/>
        <v>0</v>
      </c>
      <c r="X232" s="64">
        <f t="shared" ref="X232:Y232" si="1238">IF(O232&gt;0,O232/K232,0)</f>
        <v>0</v>
      </c>
      <c r="Y232" s="64">
        <f t="shared" si="1238"/>
        <v>0.47630652585973465</v>
      </c>
      <c r="Z232" s="64">
        <f t="shared" si="1014"/>
        <v>0</v>
      </c>
      <c r="AA232" s="65"/>
      <c r="AB232" s="65"/>
      <c r="AC232" s="65"/>
      <c r="AD232" s="65"/>
      <c r="AE232" s="113">
        <v>492</v>
      </c>
      <c r="AF232" s="66"/>
      <c r="AG232" s="66"/>
      <c r="AH232" s="66"/>
      <c r="AI232" s="65"/>
      <c r="AJ232" s="65"/>
      <c r="AK232" s="65"/>
      <c r="AL232" s="65"/>
      <c r="AM232" s="65"/>
      <c r="AN232" s="65"/>
      <c r="AO232" s="65"/>
      <c r="AP232" s="65"/>
      <c r="AQ232" s="65">
        <f>1267</f>
        <v>1267</v>
      </c>
      <c r="AR232" s="65"/>
      <c r="AS232" s="65"/>
      <c r="AT232" s="65"/>
      <c r="AU232" s="65"/>
      <c r="AV232" s="65"/>
      <c r="AW232" s="65"/>
      <c r="AX232" s="65"/>
      <c r="AY232" s="65"/>
      <c r="AZ232" s="65"/>
      <c r="BA232" s="65"/>
      <c r="BB232" s="65"/>
      <c r="BC232" s="65"/>
      <c r="BD232" s="65"/>
      <c r="BE232" s="65"/>
      <c r="BF232" s="65"/>
      <c r="BG232" s="65"/>
      <c r="BH232" s="237"/>
      <c r="BI232" s="237"/>
      <c r="BJ232" s="237"/>
      <c r="BK232" s="65">
        <v>0</v>
      </c>
      <c r="BL232" s="65">
        <v>0</v>
      </c>
      <c r="BM232" s="65">
        <v>0</v>
      </c>
      <c r="BN232" s="65">
        <f t="shared" si="1217"/>
        <v>0</v>
      </c>
      <c r="BO232" s="67">
        <f t="shared" si="1218"/>
        <v>0</v>
      </c>
      <c r="BP232" s="65">
        <f t="shared" si="1219"/>
        <v>0</v>
      </c>
      <c r="BQ232" s="65">
        <f t="shared" si="1220"/>
        <v>0</v>
      </c>
      <c r="BR232" s="65">
        <f t="shared" si="1221"/>
        <v>0</v>
      </c>
      <c r="BS232" s="65">
        <f t="shared" si="1222"/>
        <v>0</v>
      </c>
      <c r="BT232" s="65">
        <f t="shared" si="1223"/>
        <v>1934</v>
      </c>
      <c r="BU232" s="65">
        <f t="shared" si="1224"/>
        <v>0</v>
      </c>
      <c r="BV232" s="65">
        <f t="shared" si="1225"/>
        <v>0</v>
      </c>
      <c r="BW232" s="65">
        <f t="shared" si="1226"/>
        <v>1934</v>
      </c>
      <c r="BX232" s="6"/>
      <c r="BY232" s="6"/>
      <c r="BZ232" s="6"/>
      <c r="CA232" s="6"/>
      <c r="CB232" s="6"/>
      <c r="CC232" s="6"/>
      <c r="CD232" s="6"/>
      <c r="CE232" s="6"/>
      <c r="CF232" s="6"/>
      <c r="CG232" s="6"/>
    </row>
    <row r="233" spans="1:85" ht="15.75" customHeight="1">
      <c r="A233" s="196"/>
      <c r="B233" s="196" t="s">
        <v>382</v>
      </c>
      <c r="C233" s="68" t="s">
        <v>378</v>
      </c>
      <c r="D233" s="70" t="s">
        <v>383</v>
      </c>
      <c r="E233" s="57">
        <v>0</v>
      </c>
      <c r="F233" s="57">
        <v>0</v>
      </c>
      <c r="G233" s="58">
        <f t="shared" si="1210"/>
        <v>0</v>
      </c>
      <c r="H233" s="57">
        <v>0</v>
      </c>
      <c r="I233" s="59">
        <f t="shared" si="732"/>
        <v>0</v>
      </c>
      <c r="J233" s="59">
        <f t="shared" si="733"/>
        <v>0</v>
      </c>
      <c r="K233" s="74">
        <v>0</v>
      </c>
      <c r="L233" s="100">
        <v>1120</v>
      </c>
      <c r="M233" s="74">
        <v>0</v>
      </c>
      <c r="N233" s="74">
        <v>0</v>
      </c>
      <c r="O233" s="63">
        <f t="shared" ref="O233:Q233" si="1239">AA233+AD233+AG233+AJ233+AM233+AP233+AS233+AV233+AY233+BB233+BE233+BH233</f>
        <v>0</v>
      </c>
      <c r="P233" s="61">
        <f t="shared" si="1239"/>
        <v>1120</v>
      </c>
      <c r="Q233" s="61">
        <f t="shared" si="1239"/>
        <v>0</v>
      </c>
      <c r="R233" s="61">
        <f t="shared" ref="R233:T233" si="1240">IF(BK233=0,SUM(AA233+AD233+AG233+AJ233+AM233+AP233+AS233+AV233+AY233+BB233+BE233+BH233),BK233)</f>
        <v>0</v>
      </c>
      <c r="S233" s="61">
        <f t="shared" si="1240"/>
        <v>1120</v>
      </c>
      <c r="T233" s="61">
        <f t="shared" si="1240"/>
        <v>0</v>
      </c>
      <c r="U233" s="63">
        <f t="shared" si="1213"/>
        <v>0</v>
      </c>
      <c r="V233" s="170">
        <f t="shared" si="1214"/>
        <v>0</v>
      </c>
      <c r="W233" s="63">
        <f t="shared" si="1215"/>
        <v>0</v>
      </c>
      <c r="X233" s="64">
        <f t="shared" ref="X233:Y233" si="1241">IF(O233&gt;0,O233/K233,0)</f>
        <v>0</v>
      </c>
      <c r="Y233" s="64">
        <f t="shared" si="1241"/>
        <v>1</v>
      </c>
      <c r="Z233" s="64">
        <f t="shared" si="1014"/>
        <v>0</v>
      </c>
      <c r="AA233" s="65"/>
      <c r="AB233" s="65"/>
      <c r="AC233" s="65"/>
      <c r="AD233" s="65"/>
      <c r="AE233" s="113">
        <v>1075</v>
      </c>
      <c r="AF233" s="66"/>
      <c r="AG233" s="66"/>
      <c r="AH233" s="66"/>
      <c r="AI233" s="65"/>
      <c r="AJ233" s="65"/>
      <c r="AK233" s="65"/>
      <c r="AL233" s="65"/>
      <c r="AM233" s="65"/>
      <c r="AN233" s="65"/>
      <c r="AO233" s="65"/>
      <c r="AP233" s="65"/>
      <c r="AQ233" s="100">
        <v>45</v>
      </c>
      <c r="AR233" s="65"/>
      <c r="AS233" s="65"/>
      <c r="AT233" s="65"/>
      <c r="AU233" s="65"/>
      <c r="AV233" s="65"/>
      <c r="AW233" s="65"/>
      <c r="AX233" s="65"/>
      <c r="AY233" s="65"/>
      <c r="AZ233" s="65"/>
      <c r="BA233" s="65"/>
      <c r="BB233" s="65"/>
      <c r="BC233" s="65"/>
      <c r="BD233" s="65"/>
      <c r="BE233" s="65"/>
      <c r="BF233" s="65"/>
      <c r="BG233" s="65"/>
      <c r="BH233" s="237"/>
      <c r="BI233" s="237"/>
      <c r="BJ233" s="237"/>
      <c r="BK233" s="65">
        <v>0</v>
      </c>
      <c r="BL233" s="65">
        <v>0</v>
      </c>
      <c r="BM233" s="65">
        <v>0</v>
      </c>
      <c r="BN233" s="65">
        <f t="shared" si="1217"/>
        <v>0</v>
      </c>
      <c r="BO233" s="67">
        <f t="shared" si="1218"/>
        <v>0</v>
      </c>
      <c r="BP233" s="65">
        <f t="shared" si="1219"/>
        <v>0</v>
      </c>
      <c r="BQ233" s="65">
        <f t="shared" si="1220"/>
        <v>0</v>
      </c>
      <c r="BR233" s="65">
        <f t="shared" si="1221"/>
        <v>0</v>
      </c>
      <c r="BS233" s="65">
        <f t="shared" si="1222"/>
        <v>0</v>
      </c>
      <c r="BT233" s="65">
        <f t="shared" si="1223"/>
        <v>0</v>
      </c>
      <c r="BU233" s="65">
        <f t="shared" si="1224"/>
        <v>0</v>
      </c>
      <c r="BV233" s="65">
        <f t="shared" si="1225"/>
        <v>0</v>
      </c>
      <c r="BW233" s="65">
        <f t="shared" si="1226"/>
        <v>0</v>
      </c>
      <c r="BX233" s="6"/>
      <c r="BY233" s="6"/>
      <c r="BZ233" s="6"/>
      <c r="CA233" s="6"/>
      <c r="CB233" s="6"/>
      <c r="CC233" s="6"/>
      <c r="CD233" s="6"/>
      <c r="CE233" s="6"/>
      <c r="CF233" s="6"/>
      <c r="CG233" s="6"/>
    </row>
    <row r="234" spans="1:85" ht="15.75" customHeight="1">
      <c r="A234" s="52" t="s">
        <v>384</v>
      </c>
      <c r="B234" s="54" t="s">
        <v>385</v>
      </c>
      <c r="C234" s="68" t="s">
        <v>386</v>
      </c>
      <c r="D234" s="70" t="s">
        <v>387</v>
      </c>
      <c r="E234" s="56">
        <v>40000</v>
      </c>
      <c r="F234" s="57">
        <v>0</v>
      </c>
      <c r="G234" s="58">
        <f t="shared" si="1210"/>
        <v>40000</v>
      </c>
      <c r="H234" s="57">
        <v>0</v>
      </c>
      <c r="I234" s="59">
        <f t="shared" si="732"/>
        <v>0.54093999999999998</v>
      </c>
      <c r="J234" s="59">
        <f t="shared" si="733"/>
        <v>0.35557999999999995</v>
      </c>
      <c r="K234" s="74">
        <f>3396+3648.32+3648.32+10944.96</f>
        <v>21637.599999999999</v>
      </c>
      <c r="L234" s="266">
        <v>3396</v>
      </c>
      <c r="M234" s="74">
        <v>0</v>
      </c>
      <c r="N234" s="74">
        <v>0</v>
      </c>
      <c r="O234" s="63">
        <f t="shared" ref="O234:Q234" si="1242">AA234+AD234+AG234+AJ234+AM234+AP234+AS234+AV234+AY234+BB234+BE234+BH234</f>
        <v>14223.199999999999</v>
      </c>
      <c r="P234" s="61">
        <f t="shared" si="1242"/>
        <v>3396</v>
      </c>
      <c r="Q234" s="61">
        <f t="shared" si="1242"/>
        <v>0</v>
      </c>
      <c r="R234" s="61">
        <f t="shared" ref="R234:T234" si="1243">IF(BK234=0,SUM(AA234+AD234+AG234+AJ234+AM234+AP234+AS234+AV234+AY234+BB234+BE234+BH234),BK234)</f>
        <v>14223.199999999999</v>
      </c>
      <c r="S234" s="61">
        <f t="shared" si="1243"/>
        <v>3396</v>
      </c>
      <c r="T234" s="61">
        <f t="shared" si="1243"/>
        <v>0</v>
      </c>
      <c r="U234" s="62">
        <f t="shared" si="1213"/>
        <v>7414.4</v>
      </c>
      <c r="V234" s="63">
        <f t="shared" si="1214"/>
        <v>0</v>
      </c>
      <c r="W234" s="63">
        <f t="shared" si="1215"/>
        <v>0</v>
      </c>
      <c r="X234" s="64">
        <f t="shared" ref="X234:Y234" si="1244">IF(O234&gt;0,O234/K234,0)</f>
        <v>0.65733722778866421</v>
      </c>
      <c r="Y234" s="64">
        <f t="shared" si="1244"/>
        <v>1</v>
      </c>
      <c r="Z234" s="64">
        <f t="shared" si="1014"/>
        <v>0</v>
      </c>
      <c r="AA234" s="65"/>
      <c r="AB234" s="65"/>
      <c r="AC234" s="65"/>
      <c r="AD234" s="65"/>
      <c r="AE234" s="113">
        <v>3396</v>
      </c>
      <c r="AF234" s="66"/>
      <c r="AG234" s="66">
        <f>3396</f>
        <v>3396</v>
      </c>
      <c r="AH234" s="66"/>
      <c r="AI234" s="65"/>
      <c r="AJ234" s="65">
        <f>1584.8+1945.76</f>
        <v>3530.56</v>
      </c>
      <c r="AK234" s="65"/>
      <c r="AL234" s="65"/>
      <c r="AM234" s="100">
        <v>3648.32</v>
      </c>
      <c r="AN234" s="65"/>
      <c r="AO234" s="65"/>
      <c r="AP234" s="65">
        <f>3648.32</f>
        <v>3648.32</v>
      </c>
      <c r="AQ234" s="65"/>
      <c r="AR234" s="65"/>
      <c r="AS234" s="65"/>
      <c r="AT234" s="65"/>
      <c r="AU234" s="65"/>
      <c r="AV234" s="65"/>
      <c r="AW234" s="65"/>
      <c r="AX234" s="65"/>
      <c r="AY234" s="65"/>
      <c r="AZ234" s="65"/>
      <c r="BA234" s="65"/>
      <c r="BB234" s="65"/>
      <c r="BC234" s="65"/>
      <c r="BD234" s="65"/>
      <c r="BE234" s="65"/>
      <c r="BF234" s="65"/>
      <c r="BG234" s="65"/>
      <c r="BH234" s="237"/>
      <c r="BI234" s="237"/>
      <c r="BJ234" s="237"/>
      <c r="BK234" s="65">
        <v>0</v>
      </c>
      <c r="BL234" s="65">
        <v>0</v>
      </c>
      <c r="BM234" s="65">
        <v>0</v>
      </c>
      <c r="BN234" s="65">
        <f t="shared" si="1217"/>
        <v>14223.199999999999</v>
      </c>
      <c r="BO234" s="67">
        <f t="shared" si="1218"/>
        <v>0</v>
      </c>
      <c r="BP234" s="65">
        <f t="shared" si="1219"/>
        <v>14223.199999999999</v>
      </c>
      <c r="BQ234" s="65">
        <f t="shared" si="1220"/>
        <v>7414.4</v>
      </c>
      <c r="BR234" s="65">
        <f t="shared" si="1221"/>
        <v>0</v>
      </c>
      <c r="BS234" s="65">
        <f t="shared" si="1222"/>
        <v>7414.4</v>
      </c>
      <c r="BT234" s="65">
        <f t="shared" si="1223"/>
        <v>0</v>
      </c>
      <c r="BU234" s="65">
        <f t="shared" si="1224"/>
        <v>14223.199999999999</v>
      </c>
      <c r="BV234" s="65">
        <f t="shared" si="1225"/>
        <v>7414.4</v>
      </c>
      <c r="BW234" s="65">
        <f t="shared" si="1226"/>
        <v>21637.599999999999</v>
      </c>
      <c r="BX234" s="6"/>
      <c r="BY234" s="6"/>
      <c r="BZ234" s="6"/>
      <c r="CA234" s="6"/>
      <c r="CB234" s="6"/>
      <c r="CC234" s="6"/>
      <c r="CD234" s="6"/>
      <c r="CE234" s="6"/>
      <c r="CF234" s="6"/>
      <c r="CG234" s="6"/>
    </row>
    <row r="235" spans="1:85" ht="15.75" customHeight="1">
      <c r="A235" s="52" t="s">
        <v>388</v>
      </c>
      <c r="B235" s="54"/>
      <c r="C235" s="68" t="s">
        <v>386</v>
      </c>
      <c r="D235" s="70" t="s">
        <v>389</v>
      </c>
      <c r="E235" s="56">
        <v>0</v>
      </c>
      <c r="F235" s="57">
        <v>0</v>
      </c>
      <c r="G235" s="58">
        <f t="shared" si="1210"/>
        <v>0</v>
      </c>
      <c r="H235" s="57">
        <v>0</v>
      </c>
      <c r="I235" s="59">
        <f t="shared" si="732"/>
        <v>0</v>
      </c>
      <c r="J235" s="59">
        <f t="shared" si="733"/>
        <v>0</v>
      </c>
      <c r="K235" s="74">
        <v>18241.61</v>
      </c>
      <c r="L235" s="74">
        <v>0</v>
      </c>
      <c r="M235" s="74">
        <v>0</v>
      </c>
      <c r="N235" s="74">
        <v>0</v>
      </c>
      <c r="O235" s="63">
        <f t="shared" ref="O235:Q235" si="1245">AA235+AD235+AG235+AJ235+AM235+AP235+AS235+AV235+AY235+BB235+BE235+BH235</f>
        <v>0</v>
      </c>
      <c r="P235" s="61">
        <f t="shared" si="1245"/>
        <v>0</v>
      </c>
      <c r="Q235" s="61">
        <f t="shared" si="1245"/>
        <v>0</v>
      </c>
      <c r="R235" s="61">
        <f t="shared" ref="R235:T235" si="1246">IF(BK235=0,SUM(AA235+AD235+AG235+AJ235+AM235+AP235+AS235+AV235+AY235+BB235+BE235+BH235),BK235)</f>
        <v>0</v>
      </c>
      <c r="S235" s="61">
        <f t="shared" si="1246"/>
        <v>0</v>
      </c>
      <c r="T235" s="61">
        <f t="shared" si="1246"/>
        <v>0</v>
      </c>
      <c r="U235" s="62">
        <f t="shared" si="1213"/>
        <v>18241.61</v>
      </c>
      <c r="V235" s="63">
        <f t="shared" si="1214"/>
        <v>0</v>
      </c>
      <c r="W235" s="63">
        <f t="shared" si="1215"/>
        <v>0</v>
      </c>
      <c r="X235" s="64">
        <f t="shared" ref="X235:Y235" si="1247">IF(O235&gt;0,O235/K235,0)</f>
        <v>0</v>
      </c>
      <c r="Y235" s="64">
        <f t="shared" si="1247"/>
        <v>0</v>
      </c>
      <c r="Z235" s="64">
        <f t="shared" si="1014"/>
        <v>0</v>
      </c>
      <c r="AA235" s="65"/>
      <c r="AB235" s="65"/>
      <c r="AC235" s="65"/>
      <c r="AD235" s="65"/>
      <c r="AE235" s="66"/>
      <c r="AF235" s="66"/>
      <c r="AG235" s="66"/>
      <c r="AH235" s="66"/>
      <c r="AI235" s="65"/>
      <c r="AJ235" s="65"/>
      <c r="AK235" s="65"/>
      <c r="AL235" s="65"/>
      <c r="AM235" s="65"/>
      <c r="AN235" s="65"/>
      <c r="AO235" s="65"/>
      <c r="AP235" s="65"/>
      <c r="AQ235" s="65"/>
      <c r="AR235" s="65"/>
      <c r="AS235" s="65"/>
      <c r="AT235" s="65"/>
      <c r="AU235" s="65"/>
      <c r="AV235" s="65"/>
      <c r="AW235" s="65"/>
      <c r="AX235" s="65"/>
      <c r="AY235" s="65"/>
      <c r="AZ235" s="65"/>
      <c r="BA235" s="65"/>
      <c r="BB235" s="65"/>
      <c r="BC235" s="65"/>
      <c r="BD235" s="65"/>
      <c r="BE235" s="65"/>
      <c r="BF235" s="65"/>
      <c r="BG235" s="65"/>
      <c r="BH235" s="237"/>
      <c r="BI235" s="237"/>
      <c r="BJ235" s="237"/>
      <c r="BK235" s="65">
        <v>0</v>
      </c>
      <c r="BL235" s="65">
        <v>0</v>
      </c>
      <c r="BM235" s="65">
        <v>0</v>
      </c>
      <c r="BN235" s="65">
        <f t="shared" si="1217"/>
        <v>0</v>
      </c>
      <c r="BO235" s="67">
        <f t="shared" si="1218"/>
        <v>0</v>
      </c>
      <c r="BP235" s="65">
        <f t="shared" si="1219"/>
        <v>0</v>
      </c>
      <c r="BQ235" s="65">
        <f t="shared" si="1220"/>
        <v>18241.61</v>
      </c>
      <c r="BR235" s="65">
        <f t="shared" si="1221"/>
        <v>0</v>
      </c>
      <c r="BS235" s="65">
        <f t="shared" si="1222"/>
        <v>18241.61</v>
      </c>
      <c r="BT235" s="65">
        <f t="shared" si="1223"/>
        <v>0</v>
      </c>
      <c r="BU235" s="65">
        <f t="shared" si="1224"/>
        <v>0</v>
      </c>
      <c r="BV235" s="65">
        <f t="shared" si="1225"/>
        <v>18241.61</v>
      </c>
      <c r="BW235" s="65">
        <f t="shared" si="1226"/>
        <v>18241.61</v>
      </c>
      <c r="BX235" s="6"/>
      <c r="BY235" s="6"/>
      <c r="BZ235" s="6"/>
      <c r="CA235" s="6"/>
      <c r="CB235" s="6"/>
      <c r="CC235" s="6"/>
      <c r="CD235" s="6"/>
      <c r="CE235" s="6"/>
      <c r="CF235" s="6"/>
      <c r="CG235" s="6"/>
    </row>
    <row r="236" spans="1:85" ht="15.75" customHeight="1">
      <c r="A236" s="81"/>
      <c r="B236" s="81"/>
      <c r="C236" s="71" t="s">
        <v>235</v>
      </c>
      <c r="D236" s="240" t="s">
        <v>390</v>
      </c>
      <c r="E236" s="56">
        <f>4000+5000</f>
        <v>9000</v>
      </c>
      <c r="F236" s="57">
        <v>0</v>
      </c>
      <c r="G236" s="58">
        <f t="shared" si="1210"/>
        <v>9000</v>
      </c>
      <c r="H236" s="57">
        <v>0</v>
      </c>
      <c r="I236" s="59">
        <f t="shared" si="732"/>
        <v>0</v>
      </c>
      <c r="J236" s="59">
        <f t="shared" si="733"/>
        <v>0</v>
      </c>
      <c r="K236" s="74">
        <v>0</v>
      </c>
      <c r="L236" s="74">
        <v>0</v>
      </c>
      <c r="M236" s="74">
        <v>0</v>
      </c>
      <c r="N236" s="74">
        <v>0</v>
      </c>
      <c r="O236" s="61">
        <f t="shared" ref="O236:Q236" si="1248">AA236+AD236+AG236+AJ236+AM236+AP236+AS236+AV236+AY236+BB236+BE236+BH236</f>
        <v>0</v>
      </c>
      <c r="P236" s="61">
        <f t="shared" si="1248"/>
        <v>0</v>
      </c>
      <c r="Q236" s="61">
        <f t="shared" si="1248"/>
        <v>0</v>
      </c>
      <c r="R236" s="61">
        <f t="shared" ref="R236:T236" si="1249">IF(BK236=0,SUM(AA236+AD236+AG236+AJ236+AM236+AP236+AS236+AV236+AY236+BB236+BE236+BH236),BK236)</f>
        <v>0</v>
      </c>
      <c r="S236" s="61">
        <f t="shared" si="1249"/>
        <v>0</v>
      </c>
      <c r="T236" s="61">
        <f t="shared" si="1249"/>
        <v>0</v>
      </c>
      <c r="U236" s="63">
        <f t="shared" si="1213"/>
        <v>0</v>
      </c>
      <c r="V236" s="63">
        <f t="shared" si="1214"/>
        <v>0</v>
      </c>
      <c r="W236" s="63">
        <f t="shared" si="1215"/>
        <v>0</v>
      </c>
      <c r="X236" s="64">
        <f t="shared" ref="X236:Y236" si="1250">IF(O236&gt;0,O236/K236,0)</f>
        <v>0</v>
      </c>
      <c r="Y236" s="64">
        <f t="shared" si="1250"/>
        <v>0</v>
      </c>
      <c r="Z236" s="64">
        <f t="shared" si="1014"/>
        <v>0</v>
      </c>
      <c r="AA236" s="65"/>
      <c r="AB236" s="65"/>
      <c r="AC236" s="65"/>
      <c r="AD236" s="65"/>
      <c r="AE236" s="66"/>
      <c r="AF236" s="66"/>
      <c r="AG236" s="66"/>
      <c r="AH236" s="66"/>
      <c r="AI236" s="65"/>
      <c r="AJ236" s="65"/>
      <c r="AK236" s="65"/>
      <c r="AL236" s="65"/>
      <c r="AM236" s="65"/>
      <c r="AN236" s="65"/>
      <c r="AO236" s="65"/>
      <c r="AP236" s="65"/>
      <c r="AQ236" s="65"/>
      <c r="AR236" s="65"/>
      <c r="AS236" s="65"/>
      <c r="AT236" s="65"/>
      <c r="AU236" s="65"/>
      <c r="AV236" s="65"/>
      <c r="AW236" s="65"/>
      <c r="AX236" s="65"/>
      <c r="AY236" s="65"/>
      <c r="AZ236" s="65"/>
      <c r="BA236" s="65"/>
      <c r="BB236" s="65"/>
      <c r="BC236" s="65"/>
      <c r="BD236" s="65"/>
      <c r="BE236" s="65"/>
      <c r="BF236" s="65"/>
      <c r="BG236" s="65"/>
      <c r="BH236" s="237"/>
      <c r="BI236" s="237"/>
      <c r="BJ236" s="237"/>
      <c r="BK236" s="65">
        <v>0</v>
      </c>
      <c r="BL236" s="65">
        <v>0</v>
      </c>
      <c r="BM236" s="65">
        <v>0</v>
      </c>
      <c r="BN236" s="65">
        <f t="shared" si="1217"/>
        <v>0</v>
      </c>
      <c r="BO236" s="67">
        <f t="shared" si="1218"/>
        <v>0</v>
      </c>
      <c r="BP236" s="65">
        <f t="shared" si="1219"/>
        <v>0</v>
      </c>
      <c r="BQ236" s="65">
        <f t="shared" si="1220"/>
        <v>0</v>
      </c>
      <c r="BR236" s="65">
        <f t="shared" si="1221"/>
        <v>0</v>
      </c>
      <c r="BS236" s="65">
        <f t="shared" si="1222"/>
        <v>0</v>
      </c>
      <c r="BT236" s="65">
        <f t="shared" si="1223"/>
        <v>0</v>
      </c>
      <c r="BU236" s="65">
        <f t="shared" si="1224"/>
        <v>0</v>
      </c>
      <c r="BV236" s="65">
        <f t="shared" si="1225"/>
        <v>0</v>
      </c>
      <c r="BW236" s="65">
        <f t="shared" si="1226"/>
        <v>0</v>
      </c>
      <c r="BX236" s="6"/>
      <c r="BY236" s="6"/>
      <c r="BZ236" s="6"/>
      <c r="CA236" s="6"/>
      <c r="CB236" s="6"/>
      <c r="CC236" s="6"/>
      <c r="CD236" s="6"/>
      <c r="CE236" s="6"/>
      <c r="CF236" s="6"/>
      <c r="CG236" s="6"/>
    </row>
    <row r="237" spans="1:85" ht="15.75" customHeight="1">
      <c r="A237" s="34"/>
      <c r="B237" s="35"/>
      <c r="C237" s="36"/>
      <c r="D237" s="37" t="s">
        <v>391</v>
      </c>
      <c r="E237" s="38">
        <f t="shared" ref="E237:H237" si="1251">E238+E240+E244+E246</f>
        <v>48509.869999999995</v>
      </c>
      <c r="F237" s="38">
        <f t="shared" si="1251"/>
        <v>0</v>
      </c>
      <c r="G237" s="38">
        <f t="shared" si="1251"/>
        <v>48509.869999999995</v>
      </c>
      <c r="H237" s="38">
        <f t="shared" si="1251"/>
        <v>0</v>
      </c>
      <c r="I237" s="39">
        <f t="shared" si="732"/>
        <v>0</v>
      </c>
      <c r="J237" s="39">
        <f t="shared" si="733"/>
        <v>0</v>
      </c>
      <c r="K237" s="38">
        <f t="shared" ref="K237:W237" si="1252">K238+K240+K244+K246</f>
        <v>0</v>
      </c>
      <c r="L237" s="38">
        <f t="shared" si="1252"/>
        <v>0</v>
      </c>
      <c r="M237" s="38">
        <f t="shared" si="1252"/>
        <v>0</v>
      </c>
      <c r="N237" s="38">
        <f t="shared" si="1252"/>
        <v>0</v>
      </c>
      <c r="O237" s="38">
        <f t="shared" si="1252"/>
        <v>0</v>
      </c>
      <c r="P237" s="38">
        <f t="shared" si="1252"/>
        <v>0</v>
      </c>
      <c r="Q237" s="38">
        <f t="shared" si="1252"/>
        <v>0</v>
      </c>
      <c r="R237" s="38">
        <f t="shared" si="1252"/>
        <v>0</v>
      </c>
      <c r="S237" s="38">
        <f t="shared" si="1252"/>
        <v>0</v>
      </c>
      <c r="T237" s="38">
        <f t="shared" si="1252"/>
        <v>0</v>
      </c>
      <c r="U237" s="38">
        <f t="shared" si="1252"/>
        <v>0</v>
      </c>
      <c r="V237" s="38">
        <f t="shared" si="1252"/>
        <v>0</v>
      </c>
      <c r="W237" s="38">
        <f t="shared" si="1252"/>
        <v>0</v>
      </c>
      <c r="X237" s="40">
        <f t="shared" ref="X237:Y237" si="1253">IF(O237&gt;0,O237/K237,0)</f>
        <v>0</v>
      </c>
      <c r="Y237" s="40">
        <f t="shared" si="1253"/>
        <v>0</v>
      </c>
      <c r="Z237" s="40">
        <f t="shared" si="1014"/>
        <v>0</v>
      </c>
      <c r="AA237" s="38">
        <f t="shared" ref="AA237:BW237" si="1254">AA238+AA240+AA244+AA246</f>
        <v>0</v>
      </c>
      <c r="AB237" s="38">
        <f t="shared" si="1254"/>
        <v>0</v>
      </c>
      <c r="AC237" s="38">
        <f t="shared" si="1254"/>
        <v>0</v>
      </c>
      <c r="AD237" s="38">
        <f t="shared" si="1254"/>
        <v>0</v>
      </c>
      <c r="AE237" s="38">
        <f t="shared" si="1254"/>
        <v>0</v>
      </c>
      <c r="AF237" s="38">
        <f t="shared" si="1254"/>
        <v>0</v>
      </c>
      <c r="AG237" s="38">
        <f t="shared" si="1254"/>
        <v>0</v>
      </c>
      <c r="AH237" s="38">
        <f t="shared" si="1254"/>
        <v>0</v>
      </c>
      <c r="AI237" s="38">
        <f t="shared" si="1254"/>
        <v>0</v>
      </c>
      <c r="AJ237" s="38">
        <f t="shared" si="1254"/>
        <v>0</v>
      </c>
      <c r="AK237" s="38">
        <f t="shared" si="1254"/>
        <v>0</v>
      </c>
      <c r="AL237" s="38">
        <f t="shared" si="1254"/>
        <v>0</v>
      </c>
      <c r="AM237" s="38">
        <f t="shared" si="1254"/>
        <v>0</v>
      </c>
      <c r="AN237" s="38">
        <f t="shared" si="1254"/>
        <v>0</v>
      </c>
      <c r="AO237" s="38">
        <f t="shared" si="1254"/>
        <v>0</v>
      </c>
      <c r="AP237" s="38">
        <f t="shared" si="1254"/>
        <v>0</v>
      </c>
      <c r="AQ237" s="38">
        <f t="shared" si="1254"/>
        <v>0</v>
      </c>
      <c r="AR237" s="38">
        <f t="shared" si="1254"/>
        <v>0</v>
      </c>
      <c r="AS237" s="38">
        <f t="shared" si="1254"/>
        <v>0</v>
      </c>
      <c r="AT237" s="38">
        <f t="shared" si="1254"/>
        <v>0</v>
      </c>
      <c r="AU237" s="38">
        <f t="shared" si="1254"/>
        <v>0</v>
      </c>
      <c r="AV237" s="38">
        <f t="shared" si="1254"/>
        <v>0</v>
      </c>
      <c r="AW237" s="38">
        <f t="shared" si="1254"/>
        <v>0</v>
      </c>
      <c r="AX237" s="38">
        <f t="shared" si="1254"/>
        <v>0</v>
      </c>
      <c r="AY237" s="38">
        <f t="shared" si="1254"/>
        <v>0</v>
      </c>
      <c r="AZ237" s="38">
        <f t="shared" si="1254"/>
        <v>0</v>
      </c>
      <c r="BA237" s="38">
        <f t="shared" si="1254"/>
        <v>0</v>
      </c>
      <c r="BB237" s="38">
        <f t="shared" si="1254"/>
        <v>0</v>
      </c>
      <c r="BC237" s="38">
        <f t="shared" si="1254"/>
        <v>0</v>
      </c>
      <c r="BD237" s="38">
        <f t="shared" si="1254"/>
        <v>0</v>
      </c>
      <c r="BE237" s="38">
        <f t="shared" si="1254"/>
        <v>0</v>
      </c>
      <c r="BF237" s="38">
        <f t="shared" si="1254"/>
        <v>0</v>
      </c>
      <c r="BG237" s="38">
        <f t="shared" si="1254"/>
        <v>0</v>
      </c>
      <c r="BH237" s="38">
        <f t="shared" si="1254"/>
        <v>0</v>
      </c>
      <c r="BI237" s="38">
        <f t="shared" si="1254"/>
        <v>0</v>
      </c>
      <c r="BJ237" s="38">
        <f t="shared" si="1254"/>
        <v>0</v>
      </c>
      <c r="BK237" s="38">
        <f t="shared" si="1254"/>
        <v>0</v>
      </c>
      <c r="BL237" s="38">
        <f t="shared" si="1254"/>
        <v>0</v>
      </c>
      <c r="BM237" s="38">
        <f t="shared" si="1254"/>
        <v>0</v>
      </c>
      <c r="BN237" s="38">
        <f t="shared" si="1254"/>
        <v>0</v>
      </c>
      <c r="BO237" s="38">
        <f t="shared" si="1254"/>
        <v>0</v>
      </c>
      <c r="BP237" s="38">
        <f t="shared" si="1254"/>
        <v>0</v>
      </c>
      <c r="BQ237" s="38">
        <f t="shared" si="1254"/>
        <v>0</v>
      </c>
      <c r="BR237" s="38">
        <f t="shared" si="1254"/>
        <v>0</v>
      </c>
      <c r="BS237" s="38">
        <f t="shared" si="1254"/>
        <v>0</v>
      </c>
      <c r="BT237" s="38">
        <f t="shared" si="1254"/>
        <v>0</v>
      </c>
      <c r="BU237" s="38">
        <f t="shared" si="1254"/>
        <v>0</v>
      </c>
      <c r="BV237" s="38">
        <f t="shared" si="1254"/>
        <v>0</v>
      </c>
      <c r="BW237" s="38">
        <f t="shared" si="1254"/>
        <v>0</v>
      </c>
      <c r="BX237" s="51"/>
      <c r="BY237" s="51"/>
      <c r="BZ237" s="51"/>
      <c r="CA237" s="51"/>
      <c r="CB237" s="51"/>
      <c r="CC237" s="51"/>
      <c r="CD237" s="51"/>
      <c r="CE237" s="51"/>
      <c r="CF237" s="51"/>
      <c r="CG237" s="51"/>
    </row>
    <row r="238" spans="1:85" ht="15.75">
      <c r="A238" s="260"/>
      <c r="B238" s="261"/>
      <c r="C238" s="262"/>
      <c r="D238" s="78" t="s">
        <v>67</v>
      </c>
      <c r="E238" s="45">
        <f t="shared" ref="E238:H238" si="1255">E239</f>
        <v>5000</v>
      </c>
      <c r="F238" s="45">
        <f t="shared" si="1255"/>
        <v>0</v>
      </c>
      <c r="G238" s="45">
        <f t="shared" si="1255"/>
        <v>5000</v>
      </c>
      <c r="H238" s="45">
        <f t="shared" si="1255"/>
        <v>0</v>
      </c>
      <c r="I238" s="47">
        <f t="shared" si="732"/>
        <v>0</v>
      </c>
      <c r="J238" s="47">
        <f t="shared" si="733"/>
        <v>0</v>
      </c>
      <c r="K238" s="45">
        <f t="shared" ref="K238:W238" si="1256">K239</f>
        <v>0</v>
      </c>
      <c r="L238" s="45">
        <f t="shared" si="1256"/>
        <v>0</v>
      </c>
      <c r="M238" s="45">
        <f t="shared" si="1256"/>
        <v>0</v>
      </c>
      <c r="N238" s="45">
        <f t="shared" si="1256"/>
        <v>0</v>
      </c>
      <c r="O238" s="45">
        <f t="shared" si="1256"/>
        <v>0</v>
      </c>
      <c r="P238" s="45">
        <f t="shared" si="1256"/>
        <v>0</v>
      </c>
      <c r="Q238" s="45">
        <f t="shared" si="1256"/>
        <v>0</v>
      </c>
      <c r="R238" s="45">
        <f t="shared" si="1256"/>
        <v>0</v>
      </c>
      <c r="S238" s="45">
        <f t="shared" si="1256"/>
        <v>0</v>
      </c>
      <c r="T238" s="45">
        <f t="shared" si="1256"/>
        <v>0</v>
      </c>
      <c r="U238" s="45">
        <f t="shared" si="1256"/>
        <v>0</v>
      </c>
      <c r="V238" s="45">
        <f t="shared" si="1256"/>
        <v>0</v>
      </c>
      <c r="W238" s="45">
        <f t="shared" si="1256"/>
        <v>0</v>
      </c>
      <c r="X238" s="50">
        <f t="shared" ref="X238:Y238" si="1257">IF(O238&gt;0,O238/K238,0)</f>
        <v>0</v>
      </c>
      <c r="Y238" s="50">
        <f t="shared" si="1257"/>
        <v>0</v>
      </c>
      <c r="Z238" s="50">
        <f t="shared" si="1014"/>
        <v>0</v>
      </c>
      <c r="AA238" s="45">
        <f t="shared" ref="AA238:BW238" si="1258">AA239</f>
        <v>0</v>
      </c>
      <c r="AB238" s="45">
        <f t="shared" si="1258"/>
        <v>0</v>
      </c>
      <c r="AC238" s="45">
        <f t="shared" si="1258"/>
        <v>0</v>
      </c>
      <c r="AD238" s="45">
        <f t="shared" si="1258"/>
        <v>0</v>
      </c>
      <c r="AE238" s="45">
        <f t="shared" si="1258"/>
        <v>0</v>
      </c>
      <c r="AF238" s="45">
        <f t="shared" si="1258"/>
        <v>0</v>
      </c>
      <c r="AG238" s="45">
        <f t="shared" si="1258"/>
        <v>0</v>
      </c>
      <c r="AH238" s="45">
        <f t="shared" si="1258"/>
        <v>0</v>
      </c>
      <c r="AI238" s="45">
        <f t="shared" si="1258"/>
        <v>0</v>
      </c>
      <c r="AJ238" s="45">
        <f t="shared" si="1258"/>
        <v>0</v>
      </c>
      <c r="AK238" s="45">
        <f t="shared" si="1258"/>
        <v>0</v>
      </c>
      <c r="AL238" s="45">
        <f t="shared" si="1258"/>
        <v>0</v>
      </c>
      <c r="AM238" s="45">
        <f t="shared" si="1258"/>
        <v>0</v>
      </c>
      <c r="AN238" s="45">
        <f t="shared" si="1258"/>
        <v>0</v>
      </c>
      <c r="AO238" s="45">
        <f t="shared" si="1258"/>
        <v>0</v>
      </c>
      <c r="AP238" s="45">
        <f t="shared" si="1258"/>
        <v>0</v>
      </c>
      <c r="AQ238" s="45">
        <f t="shared" si="1258"/>
        <v>0</v>
      </c>
      <c r="AR238" s="45">
        <f t="shared" si="1258"/>
        <v>0</v>
      </c>
      <c r="AS238" s="45">
        <f t="shared" si="1258"/>
        <v>0</v>
      </c>
      <c r="AT238" s="45">
        <f t="shared" si="1258"/>
        <v>0</v>
      </c>
      <c r="AU238" s="45">
        <f t="shared" si="1258"/>
        <v>0</v>
      </c>
      <c r="AV238" s="45">
        <f t="shared" si="1258"/>
        <v>0</v>
      </c>
      <c r="AW238" s="45">
        <f t="shared" si="1258"/>
        <v>0</v>
      </c>
      <c r="AX238" s="45">
        <f t="shared" si="1258"/>
        <v>0</v>
      </c>
      <c r="AY238" s="45">
        <f t="shared" si="1258"/>
        <v>0</v>
      </c>
      <c r="AZ238" s="45">
        <f t="shared" si="1258"/>
        <v>0</v>
      </c>
      <c r="BA238" s="45">
        <f t="shared" si="1258"/>
        <v>0</v>
      </c>
      <c r="BB238" s="45">
        <f t="shared" si="1258"/>
        <v>0</v>
      </c>
      <c r="BC238" s="45">
        <f t="shared" si="1258"/>
        <v>0</v>
      </c>
      <c r="BD238" s="45">
        <f t="shared" si="1258"/>
        <v>0</v>
      </c>
      <c r="BE238" s="45">
        <f t="shared" si="1258"/>
        <v>0</v>
      </c>
      <c r="BF238" s="45">
        <f t="shared" si="1258"/>
        <v>0</v>
      </c>
      <c r="BG238" s="45">
        <f t="shared" si="1258"/>
        <v>0</v>
      </c>
      <c r="BH238" s="45">
        <f t="shared" si="1258"/>
        <v>0</v>
      </c>
      <c r="BI238" s="45">
        <f t="shared" si="1258"/>
        <v>0</v>
      </c>
      <c r="BJ238" s="45">
        <f t="shared" si="1258"/>
        <v>0</v>
      </c>
      <c r="BK238" s="45">
        <f t="shared" si="1258"/>
        <v>0</v>
      </c>
      <c r="BL238" s="45">
        <f t="shared" si="1258"/>
        <v>0</v>
      </c>
      <c r="BM238" s="45">
        <f t="shared" si="1258"/>
        <v>0</v>
      </c>
      <c r="BN238" s="45">
        <f t="shared" si="1258"/>
        <v>0</v>
      </c>
      <c r="BO238" s="45">
        <f t="shared" si="1258"/>
        <v>0</v>
      </c>
      <c r="BP238" s="45">
        <f t="shared" si="1258"/>
        <v>0</v>
      </c>
      <c r="BQ238" s="45">
        <f t="shared" si="1258"/>
        <v>0</v>
      </c>
      <c r="BR238" s="45">
        <f t="shared" si="1258"/>
        <v>0</v>
      </c>
      <c r="BS238" s="45">
        <f t="shared" si="1258"/>
        <v>0</v>
      </c>
      <c r="BT238" s="45">
        <f t="shared" si="1258"/>
        <v>0</v>
      </c>
      <c r="BU238" s="45">
        <f t="shared" si="1258"/>
        <v>0</v>
      </c>
      <c r="BV238" s="45">
        <f t="shared" si="1258"/>
        <v>0</v>
      </c>
      <c r="BW238" s="45">
        <f t="shared" si="1258"/>
        <v>0</v>
      </c>
      <c r="BX238" s="6"/>
      <c r="BY238" s="6"/>
      <c r="BZ238" s="6"/>
      <c r="CA238" s="6"/>
      <c r="CB238" s="6"/>
      <c r="CC238" s="6"/>
      <c r="CD238" s="6"/>
      <c r="CE238" s="6"/>
      <c r="CF238" s="6"/>
      <c r="CG238" s="6"/>
    </row>
    <row r="239" spans="1:85" ht="15.75" customHeight="1">
      <c r="A239" s="267"/>
      <c r="B239" s="268"/>
      <c r="C239" s="54" t="s">
        <v>69</v>
      </c>
      <c r="D239" s="55" t="s">
        <v>70</v>
      </c>
      <c r="E239" s="56">
        <v>5000</v>
      </c>
      <c r="F239" s="99">
        <v>0</v>
      </c>
      <c r="G239" s="58">
        <f>E239-F239</f>
        <v>5000</v>
      </c>
      <c r="H239" s="57">
        <v>0</v>
      </c>
      <c r="I239" s="59">
        <f t="shared" si="732"/>
        <v>0</v>
      </c>
      <c r="J239" s="59">
        <f t="shared" si="733"/>
        <v>0</v>
      </c>
      <c r="K239" s="74">
        <v>0</v>
      </c>
      <c r="L239" s="74">
        <v>0</v>
      </c>
      <c r="M239" s="74">
        <v>0</v>
      </c>
      <c r="N239" s="74">
        <v>0</v>
      </c>
      <c r="O239" s="61">
        <f t="shared" ref="O239:Q239" si="1259">AA239+AD239+AG239+AJ239+AM239+AP239+AS239+AV239+AY239+BB239+BE239+BH239</f>
        <v>0</v>
      </c>
      <c r="P239" s="61">
        <f t="shared" si="1259"/>
        <v>0</v>
      </c>
      <c r="Q239" s="61">
        <f t="shared" si="1259"/>
        <v>0</v>
      </c>
      <c r="R239" s="61">
        <f t="shared" ref="R239:T239" si="1260">IF(BK239=0,SUM(AA239+AD239+AG239+AJ239+AM239+AP239+AS239+AV239+AY239+BB239+BE239+BH239),BK239)</f>
        <v>0</v>
      </c>
      <c r="S239" s="61">
        <f t="shared" si="1260"/>
        <v>0</v>
      </c>
      <c r="T239" s="61">
        <f t="shared" si="1260"/>
        <v>0</v>
      </c>
      <c r="U239" s="63">
        <f>K239-O239</f>
        <v>0</v>
      </c>
      <c r="V239" s="63">
        <f>L239-M239-S239</f>
        <v>0</v>
      </c>
      <c r="W239" s="63">
        <f>N239-Q239</f>
        <v>0</v>
      </c>
      <c r="X239" s="64">
        <f t="shared" ref="X239:Y239" si="1261">IF(O239&gt;0,O239/K239,0)</f>
        <v>0</v>
      </c>
      <c r="Y239" s="64">
        <f t="shared" si="1261"/>
        <v>0</v>
      </c>
      <c r="Z239" s="64">
        <f t="shared" si="1014"/>
        <v>0</v>
      </c>
      <c r="AA239" s="65"/>
      <c r="AB239" s="65"/>
      <c r="AC239" s="65"/>
      <c r="AD239" s="65"/>
      <c r="AE239" s="66"/>
      <c r="AF239" s="66"/>
      <c r="AG239" s="66"/>
      <c r="AH239" s="66"/>
      <c r="AI239" s="65"/>
      <c r="AJ239" s="65"/>
      <c r="AK239" s="65"/>
      <c r="AL239" s="65"/>
      <c r="AM239" s="65"/>
      <c r="AN239" s="65"/>
      <c r="AO239" s="65"/>
      <c r="AP239" s="65"/>
      <c r="AQ239" s="65"/>
      <c r="AR239" s="65"/>
      <c r="AS239" s="65"/>
      <c r="AT239" s="65"/>
      <c r="AU239" s="65"/>
      <c r="AV239" s="65"/>
      <c r="AW239" s="65"/>
      <c r="AX239" s="65"/>
      <c r="AY239" s="65"/>
      <c r="AZ239" s="65"/>
      <c r="BA239" s="65"/>
      <c r="BB239" s="65"/>
      <c r="BC239" s="65"/>
      <c r="BD239" s="65"/>
      <c r="BE239" s="65"/>
      <c r="BF239" s="65"/>
      <c r="BG239" s="65"/>
      <c r="BH239" s="237"/>
      <c r="BI239" s="237"/>
      <c r="BJ239" s="237"/>
      <c r="BK239" s="65">
        <v>0</v>
      </c>
      <c r="BL239" s="65">
        <v>0</v>
      </c>
      <c r="BM239" s="65">
        <v>0</v>
      </c>
      <c r="BN239" s="65">
        <f>IF(O239-BK239&gt;0,O239-BK239,0)</f>
        <v>0</v>
      </c>
      <c r="BO239" s="67">
        <f>IF(Q239-BM239&gt;0,Q239-BM239,0)</f>
        <v>0</v>
      </c>
      <c r="BP239" s="65">
        <f>IF(BN239+BO239&gt;0,BN239+BO239,0)</f>
        <v>0</v>
      </c>
      <c r="BQ239" s="65">
        <f>IF(U239=0,0,U239)</f>
        <v>0</v>
      </c>
      <c r="BR239" s="65">
        <f>IF(W239=0,0,W239)</f>
        <v>0</v>
      </c>
      <c r="BS239" s="65">
        <f>IF(BQ239+BR239&gt;0,BQ239+BR239,0)</f>
        <v>0</v>
      </c>
      <c r="BT239" s="65">
        <f>IF(V239&gt;0,V239,0)</f>
        <v>0</v>
      </c>
      <c r="BU239" s="65">
        <f>IF(BP239=0,0,BP239)</f>
        <v>0</v>
      </c>
      <c r="BV239" s="65">
        <f>IF(BS239=0,0,BS239)</f>
        <v>0</v>
      </c>
      <c r="BW239" s="65">
        <f>IF(BP239+BT239+BV239&gt;0,BP239+BT239+BV239,0)</f>
        <v>0</v>
      </c>
      <c r="BX239" s="51"/>
      <c r="BY239" s="51"/>
      <c r="BZ239" s="51"/>
      <c r="CA239" s="51"/>
      <c r="CB239" s="51"/>
      <c r="CC239" s="51"/>
      <c r="CD239" s="51"/>
      <c r="CE239" s="51"/>
      <c r="CF239" s="51"/>
      <c r="CG239" s="51"/>
    </row>
    <row r="240" spans="1:85" ht="15.75">
      <c r="A240" s="260"/>
      <c r="B240" s="261"/>
      <c r="C240" s="262"/>
      <c r="D240" s="78" t="s">
        <v>83</v>
      </c>
      <c r="E240" s="269">
        <f t="shared" ref="E240:H240" si="1262">SUM(E241:E243)</f>
        <v>30416.889999999992</v>
      </c>
      <c r="F240" s="269">
        <f t="shared" si="1262"/>
        <v>0</v>
      </c>
      <c r="G240" s="45">
        <f t="shared" si="1262"/>
        <v>30416.889999999992</v>
      </c>
      <c r="H240" s="269">
        <f t="shared" si="1262"/>
        <v>0</v>
      </c>
      <c r="I240" s="270">
        <f t="shared" si="732"/>
        <v>0</v>
      </c>
      <c r="J240" s="270">
        <f t="shared" si="733"/>
        <v>0</v>
      </c>
      <c r="K240" s="269">
        <f t="shared" ref="K240:W240" si="1263">SUM(K241:K243)</f>
        <v>0</v>
      </c>
      <c r="L240" s="269">
        <f t="shared" si="1263"/>
        <v>0</v>
      </c>
      <c r="M240" s="269">
        <f t="shared" si="1263"/>
        <v>0</v>
      </c>
      <c r="N240" s="269">
        <f t="shared" si="1263"/>
        <v>0</v>
      </c>
      <c r="O240" s="269">
        <f t="shared" si="1263"/>
        <v>0</v>
      </c>
      <c r="P240" s="269">
        <f t="shared" si="1263"/>
        <v>0</v>
      </c>
      <c r="Q240" s="269">
        <f t="shared" si="1263"/>
        <v>0</v>
      </c>
      <c r="R240" s="269">
        <f t="shared" si="1263"/>
        <v>0</v>
      </c>
      <c r="S240" s="269">
        <f t="shared" si="1263"/>
        <v>0</v>
      </c>
      <c r="T240" s="269">
        <f t="shared" si="1263"/>
        <v>0</v>
      </c>
      <c r="U240" s="269">
        <f t="shared" si="1263"/>
        <v>0</v>
      </c>
      <c r="V240" s="269">
        <f t="shared" si="1263"/>
        <v>0</v>
      </c>
      <c r="W240" s="269">
        <f t="shared" si="1263"/>
        <v>0</v>
      </c>
      <c r="X240" s="271">
        <f t="shared" ref="X240:Y240" si="1264">IF(O240&gt;0,O240/K240,0)</f>
        <v>0</v>
      </c>
      <c r="Y240" s="271">
        <f t="shared" si="1264"/>
        <v>0</v>
      </c>
      <c r="Z240" s="271">
        <f t="shared" si="1014"/>
        <v>0</v>
      </c>
      <c r="AA240" s="269">
        <f t="shared" ref="AA240:BW240" si="1265">SUM(AA241:AA243)</f>
        <v>0</v>
      </c>
      <c r="AB240" s="269">
        <f t="shared" si="1265"/>
        <v>0</v>
      </c>
      <c r="AC240" s="269">
        <f t="shared" si="1265"/>
        <v>0</v>
      </c>
      <c r="AD240" s="269">
        <f t="shared" si="1265"/>
        <v>0</v>
      </c>
      <c r="AE240" s="269">
        <f t="shared" si="1265"/>
        <v>0</v>
      </c>
      <c r="AF240" s="269">
        <f t="shared" si="1265"/>
        <v>0</v>
      </c>
      <c r="AG240" s="269">
        <f t="shared" si="1265"/>
        <v>0</v>
      </c>
      <c r="AH240" s="269">
        <f t="shared" si="1265"/>
        <v>0</v>
      </c>
      <c r="AI240" s="269">
        <f t="shared" si="1265"/>
        <v>0</v>
      </c>
      <c r="AJ240" s="269">
        <f t="shared" si="1265"/>
        <v>0</v>
      </c>
      <c r="AK240" s="269">
        <f t="shared" si="1265"/>
        <v>0</v>
      </c>
      <c r="AL240" s="269">
        <f t="shared" si="1265"/>
        <v>0</v>
      </c>
      <c r="AM240" s="269">
        <f t="shared" si="1265"/>
        <v>0</v>
      </c>
      <c r="AN240" s="269">
        <f t="shared" si="1265"/>
        <v>0</v>
      </c>
      <c r="AO240" s="269">
        <f t="shared" si="1265"/>
        <v>0</v>
      </c>
      <c r="AP240" s="269">
        <f t="shared" si="1265"/>
        <v>0</v>
      </c>
      <c r="AQ240" s="269">
        <f t="shared" si="1265"/>
        <v>0</v>
      </c>
      <c r="AR240" s="269">
        <f t="shared" si="1265"/>
        <v>0</v>
      </c>
      <c r="AS240" s="269">
        <f t="shared" si="1265"/>
        <v>0</v>
      </c>
      <c r="AT240" s="269">
        <f t="shared" si="1265"/>
        <v>0</v>
      </c>
      <c r="AU240" s="269">
        <f t="shared" si="1265"/>
        <v>0</v>
      </c>
      <c r="AV240" s="269">
        <f t="shared" si="1265"/>
        <v>0</v>
      </c>
      <c r="AW240" s="269">
        <f t="shared" si="1265"/>
        <v>0</v>
      </c>
      <c r="AX240" s="269">
        <f t="shared" si="1265"/>
        <v>0</v>
      </c>
      <c r="AY240" s="269">
        <f t="shared" si="1265"/>
        <v>0</v>
      </c>
      <c r="AZ240" s="269">
        <f t="shared" si="1265"/>
        <v>0</v>
      </c>
      <c r="BA240" s="269">
        <f t="shared" si="1265"/>
        <v>0</v>
      </c>
      <c r="BB240" s="269">
        <f t="shared" si="1265"/>
        <v>0</v>
      </c>
      <c r="BC240" s="269">
        <f t="shared" si="1265"/>
        <v>0</v>
      </c>
      <c r="BD240" s="269">
        <f t="shared" si="1265"/>
        <v>0</v>
      </c>
      <c r="BE240" s="269">
        <f t="shared" si="1265"/>
        <v>0</v>
      </c>
      <c r="BF240" s="269">
        <f t="shared" si="1265"/>
        <v>0</v>
      </c>
      <c r="BG240" s="269">
        <f t="shared" si="1265"/>
        <v>0</v>
      </c>
      <c r="BH240" s="269">
        <f t="shared" si="1265"/>
        <v>0</v>
      </c>
      <c r="BI240" s="269">
        <f t="shared" si="1265"/>
        <v>0</v>
      </c>
      <c r="BJ240" s="269">
        <f t="shared" si="1265"/>
        <v>0</v>
      </c>
      <c r="BK240" s="269">
        <f t="shared" si="1265"/>
        <v>0</v>
      </c>
      <c r="BL240" s="269">
        <f t="shared" si="1265"/>
        <v>0</v>
      </c>
      <c r="BM240" s="269">
        <f t="shared" si="1265"/>
        <v>0</v>
      </c>
      <c r="BN240" s="269">
        <f t="shared" si="1265"/>
        <v>0</v>
      </c>
      <c r="BO240" s="269">
        <f t="shared" si="1265"/>
        <v>0</v>
      </c>
      <c r="BP240" s="269">
        <f t="shared" si="1265"/>
        <v>0</v>
      </c>
      <c r="BQ240" s="269">
        <f t="shared" si="1265"/>
        <v>0</v>
      </c>
      <c r="BR240" s="269">
        <f t="shared" si="1265"/>
        <v>0</v>
      </c>
      <c r="BS240" s="269">
        <f t="shared" si="1265"/>
        <v>0</v>
      </c>
      <c r="BT240" s="269">
        <f t="shared" si="1265"/>
        <v>0</v>
      </c>
      <c r="BU240" s="269">
        <f t="shared" si="1265"/>
        <v>0</v>
      </c>
      <c r="BV240" s="269">
        <f t="shared" si="1265"/>
        <v>0</v>
      </c>
      <c r="BW240" s="269">
        <f t="shared" si="1265"/>
        <v>0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</row>
    <row r="241" spans="1:85" ht="15.75" customHeight="1">
      <c r="A241" s="272"/>
      <c r="B241" s="273"/>
      <c r="C241" s="121" t="s">
        <v>350</v>
      </c>
      <c r="D241" s="274" t="s">
        <v>392</v>
      </c>
      <c r="E241" s="56">
        <f>69237.72-3310.96-40509.87</f>
        <v>25416.889999999992</v>
      </c>
      <c r="F241" s="57">
        <v>0</v>
      </c>
      <c r="G241" s="58">
        <f t="shared" ref="G241:G243" si="1266">E241-F241</f>
        <v>25416.889999999992</v>
      </c>
      <c r="H241" s="57">
        <v>0</v>
      </c>
      <c r="I241" s="59">
        <f t="shared" si="732"/>
        <v>0</v>
      </c>
      <c r="J241" s="59">
        <f t="shared" si="733"/>
        <v>0</v>
      </c>
      <c r="K241" s="74">
        <v>0</v>
      </c>
      <c r="L241" s="74">
        <v>0</v>
      </c>
      <c r="M241" s="74">
        <v>0</v>
      </c>
      <c r="N241" s="74">
        <v>0</v>
      </c>
      <c r="O241" s="61">
        <f t="shared" ref="O241:Q241" si="1267">AA241+AD241+AG241+AJ241+AM241+AP241+AS241+AV241+AY241+BB241+BE241+BH241</f>
        <v>0</v>
      </c>
      <c r="P241" s="61">
        <f t="shared" si="1267"/>
        <v>0</v>
      </c>
      <c r="Q241" s="61">
        <f t="shared" si="1267"/>
        <v>0</v>
      </c>
      <c r="R241" s="61">
        <f t="shared" ref="R241:T241" si="1268">IF(BK241=0,SUM(AA241+AD241+AG241+AJ241+AM241+AP241+AS241+AV241+AY241+BB241+BE241+BH241),BK241)</f>
        <v>0</v>
      </c>
      <c r="S241" s="61">
        <f t="shared" si="1268"/>
        <v>0</v>
      </c>
      <c r="T241" s="61">
        <f t="shared" si="1268"/>
        <v>0</v>
      </c>
      <c r="U241" s="63">
        <f t="shared" ref="U241:U243" si="1269">K241-O241</f>
        <v>0</v>
      </c>
      <c r="V241" s="63">
        <f t="shared" ref="V241:V243" si="1270">L241-M241-S241</f>
        <v>0</v>
      </c>
      <c r="W241" s="63">
        <f t="shared" ref="W241:W243" si="1271">N241-Q241</f>
        <v>0</v>
      </c>
      <c r="X241" s="64">
        <f t="shared" ref="X241:Y241" si="1272">IF(O241&gt;0,O241/K241,0)</f>
        <v>0</v>
      </c>
      <c r="Y241" s="64">
        <f t="shared" si="1272"/>
        <v>0</v>
      </c>
      <c r="Z241" s="64">
        <f t="shared" si="1014"/>
        <v>0</v>
      </c>
      <c r="AA241" s="65"/>
      <c r="AB241" s="65"/>
      <c r="AC241" s="65"/>
      <c r="AD241" s="65"/>
      <c r="AE241" s="66"/>
      <c r="AF241" s="66"/>
      <c r="AG241" s="66"/>
      <c r="AH241" s="66"/>
      <c r="AI241" s="65"/>
      <c r="AJ241" s="65"/>
      <c r="AK241" s="65"/>
      <c r="AL241" s="65"/>
      <c r="AM241" s="65"/>
      <c r="AN241" s="65"/>
      <c r="AO241" s="65"/>
      <c r="AP241" s="65"/>
      <c r="AQ241" s="65"/>
      <c r="AR241" s="65"/>
      <c r="AS241" s="65"/>
      <c r="AT241" s="65"/>
      <c r="AU241" s="65"/>
      <c r="AV241" s="65"/>
      <c r="AW241" s="65"/>
      <c r="AX241" s="65"/>
      <c r="AY241" s="65"/>
      <c r="AZ241" s="65"/>
      <c r="BA241" s="65"/>
      <c r="BB241" s="65"/>
      <c r="BC241" s="65"/>
      <c r="BD241" s="65"/>
      <c r="BE241" s="65"/>
      <c r="BF241" s="65"/>
      <c r="BG241" s="65"/>
      <c r="BH241" s="237"/>
      <c r="BI241" s="237"/>
      <c r="BJ241" s="237"/>
      <c r="BK241" s="65">
        <v>0</v>
      </c>
      <c r="BL241" s="65">
        <v>0</v>
      </c>
      <c r="BM241" s="65">
        <v>0</v>
      </c>
      <c r="BN241" s="65">
        <f t="shared" ref="BN241:BN243" si="1273">IF(O241-BK241&gt;0,O241-BK241,0)</f>
        <v>0</v>
      </c>
      <c r="BO241" s="67">
        <f t="shared" ref="BO241:BO243" si="1274">IF(Q241-BM241&gt;0,Q241-BM241,0)</f>
        <v>0</v>
      </c>
      <c r="BP241" s="65">
        <f t="shared" ref="BP241:BP243" si="1275">IF(BN241+BO241&gt;0,BN241+BO241,0)</f>
        <v>0</v>
      </c>
      <c r="BQ241" s="65">
        <f t="shared" ref="BQ241:BQ243" si="1276">IF(U241=0,0,U241)</f>
        <v>0</v>
      </c>
      <c r="BR241" s="65">
        <f t="shared" ref="BR241:BR243" si="1277">IF(W241=0,0,W241)</f>
        <v>0</v>
      </c>
      <c r="BS241" s="65">
        <f t="shared" ref="BS241:BS243" si="1278">IF(BQ241+BR241&gt;0,BQ241+BR241,0)</f>
        <v>0</v>
      </c>
      <c r="BT241" s="65">
        <f t="shared" ref="BT241:BT243" si="1279">IF(V241&gt;0,V241,0)</f>
        <v>0</v>
      </c>
      <c r="BU241" s="65">
        <f t="shared" ref="BU241:BU243" si="1280">IF(BP241=0,0,BP241)</f>
        <v>0</v>
      </c>
      <c r="BV241" s="65">
        <f t="shared" ref="BV241:BV243" si="1281">IF(BS241=0,0,BS241)</f>
        <v>0</v>
      </c>
      <c r="BW241" s="65">
        <f t="shared" ref="BW241:BW243" si="1282">IF(BP241+BT241+BV241&gt;0,BP241+BT241+BV241,0)</f>
        <v>0</v>
      </c>
      <c r="BX241" s="51"/>
      <c r="BY241" s="51"/>
      <c r="BZ241" s="51"/>
      <c r="CA241" s="51"/>
      <c r="CB241" s="51"/>
      <c r="CC241" s="51"/>
      <c r="CD241" s="51"/>
      <c r="CE241" s="51"/>
      <c r="CF241" s="51"/>
      <c r="CG241" s="51"/>
    </row>
    <row r="242" spans="1:85" ht="15.75" customHeight="1">
      <c r="A242" s="272"/>
      <c r="B242" s="273"/>
      <c r="C242" s="68" t="s">
        <v>127</v>
      </c>
      <c r="D242" s="122" t="s">
        <v>393</v>
      </c>
      <c r="E242" s="56">
        <v>1200</v>
      </c>
      <c r="F242" s="57">
        <v>0</v>
      </c>
      <c r="G242" s="58">
        <f t="shared" si="1266"/>
        <v>1200</v>
      </c>
      <c r="H242" s="57">
        <v>0</v>
      </c>
      <c r="I242" s="59">
        <f t="shared" si="732"/>
        <v>0</v>
      </c>
      <c r="J242" s="59">
        <f t="shared" si="733"/>
        <v>0</v>
      </c>
      <c r="K242" s="74">
        <v>0</v>
      </c>
      <c r="L242" s="74">
        <v>0</v>
      </c>
      <c r="M242" s="74">
        <v>0</v>
      </c>
      <c r="N242" s="74">
        <v>0</v>
      </c>
      <c r="O242" s="61">
        <f t="shared" ref="O242:Q242" si="1283">AA242+AD242+AG242+AJ242+AM242+AP242+AS242+AV242+AY242+BB242+BE242+BH242</f>
        <v>0</v>
      </c>
      <c r="P242" s="61">
        <f t="shared" si="1283"/>
        <v>0</v>
      </c>
      <c r="Q242" s="61">
        <f t="shared" si="1283"/>
        <v>0</v>
      </c>
      <c r="R242" s="61">
        <f t="shared" ref="R242:T242" si="1284">IF(BK242=0,SUM(AA242+AD242+AG242+AJ242+AM242+AP242+AS242+AV242+AY242+BB242+BE242+BH242),BK242)</f>
        <v>0</v>
      </c>
      <c r="S242" s="61">
        <f t="shared" si="1284"/>
        <v>0</v>
      </c>
      <c r="T242" s="61">
        <f t="shared" si="1284"/>
        <v>0</v>
      </c>
      <c r="U242" s="63">
        <f t="shared" si="1269"/>
        <v>0</v>
      </c>
      <c r="V242" s="63">
        <f t="shared" si="1270"/>
        <v>0</v>
      </c>
      <c r="W242" s="63">
        <f t="shared" si="1271"/>
        <v>0</v>
      </c>
      <c r="X242" s="64">
        <f t="shared" ref="X242:Y242" si="1285">IF(O242&gt;0,O242/K242,0)</f>
        <v>0</v>
      </c>
      <c r="Y242" s="64">
        <f t="shared" si="1285"/>
        <v>0</v>
      </c>
      <c r="Z242" s="64">
        <f t="shared" si="1014"/>
        <v>0</v>
      </c>
      <c r="AA242" s="65"/>
      <c r="AB242" s="65"/>
      <c r="AC242" s="65"/>
      <c r="AD242" s="65"/>
      <c r="AE242" s="66"/>
      <c r="AF242" s="66"/>
      <c r="AG242" s="66"/>
      <c r="AH242" s="66"/>
      <c r="AI242" s="65"/>
      <c r="AJ242" s="65"/>
      <c r="AK242" s="65"/>
      <c r="AL242" s="65"/>
      <c r="AM242" s="65"/>
      <c r="AN242" s="65"/>
      <c r="AO242" s="65"/>
      <c r="AP242" s="65"/>
      <c r="AQ242" s="65"/>
      <c r="AR242" s="65"/>
      <c r="AS242" s="65"/>
      <c r="AT242" s="65"/>
      <c r="AU242" s="65"/>
      <c r="AV242" s="65"/>
      <c r="AW242" s="65"/>
      <c r="AX242" s="65"/>
      <c r="AY242" s="65"/>
      <c r="AZ242" s="65"/>
      <c r="BA242" s="65"/>
      <c r="BB242" s="65"/>
      <c r="BC242" s="65"/>
      <c r="BD242" s="65"/>
      <c r="BE242" s="65"/>
      <c r="BF242" s="65"/>
      <c r="BG242" s="65"/>
      <c r="BH242" s="237"/>
      <c r="BI242" s="237"/>
      <c r="BJ242" s="237"/>
      <c r="BK242" s="65">
        <v>0</v>
      </c>
      <c r="BL242" s="65">
        <v>0</v>
      </c>
      <c r="BM242" s="65">
        <v>0</v>
      </c>
      <c r="BN242" s="65">
        <f t="shared" si="1273"/>
        <v>0</v>
      </c>
      <c r="BO242" s="67">
        <f t="shared" si="1274"/>
        <v>0</v>
      </c>
      <c r="BP242" s="65">
        <f t="shared" si="1275"/>
        <v>0</v>
      </c>
      <c r="BQ242" s="65">
        <f t="shared" si="1276"/>
        <v>0</v>
      </c>
      <c r="BR242" s="65">
        <f t="shared" si="1277"/>
        <v>0</v>
      </c>
      <c r="BS242" s="65">
        <f t="shared" si="1278"/>
        <v>0</v>
      </c>
      <c r="BT242" s="65">
        <f t="shared" si="1279"/>
        <v>0</v>
      </c>
      <c r="BU242" s="65">
        <f t="shared" si="1280"/>
        <v>0</v>
      </c>
      <c r="BV242" s="65">
        <f t="shared" si="1281"/>
        <v>0</v>
      </c>
      <c r="BW242" s="65">
        <f t="shared" si="1282"/>
        <v>0</v>
      </c>
      <c r="BX242" s="51"/>
      <c r="BY242" s="51"/>
      <c r="BZ242" s="51"/>
      <c r="CA242" s="51"/>
      <c r="CB242" s="51"/>
      <c r="CC242" s="51"/>
      <c r="CD242" s="51"/>
      <c r="CE242" s="51"/>
      <c r="CF242" s="51"/>
      <c r="CG242" s="51"/>
    </row>
    <row r="243" spans="1:85" ht="15.75" customHeight="1">
      <c r="A243" s="272"/>
      <c r="B243" s="273"/>
      <c r="C243" s="68" t="s">
        <v>364</v>
      </c>
      <c r="D243" s="122" t="s">
        <v>394</v>
      </c>
      <c r="E243" s="56">
        <v>3800</v>
      </c>
      <c r="F243" s="57">
        <v>0</v>
      </c>
      <c r="G243" s="58">
        <f t="shared" si="1266"/>
        <v>3800</v>
      </c>
      <c r="H243" s="57">
        <v>0</v>
      </c>
      <c r="I243" s="59">
        <f t="shared" si="732"/>
        <v>0</v>
      </c>
      <c r="J243" s="59">
        <f t="shared" si="733"/>
        <v>0</v>
      </c>
      <c r="K243" s="74">
        <v>0</v>
      </c>
      <c r="L243" s="74">
        <v>0</v>
      </c>
      <c r="M243" s="74">
        <v>0</v>
      </c>
      <c r="N243" s="74">
        <v>0</v>
      </c>
      <c r="O243" s="61">
        <f t="shared" ref="O243:Q243" si="1286">AA243+AD243+AG243+AJ243+AM243+AP243+AS243+AV243+AY243+BB243+BE243+BH243</f>
        <v>0</v>
      </c>
      <c r="P243" s="61">
        <f t="shared" si="1286"/>
        <v>0</v>
      </c>
      <c r="Q243" s="61">
        <f t="shared" si="1286"/>
        <v>0</v>
      </c>
      <c r="R243" s="61">
        <f t="shared" ref="R243:T243" si="1287">IF(BK243=0,SUM(AA243+AD243+AG243+AJ243+AM243+AP243+AS243+AV243+AY243+BB243+BE243+BH243),BK243)</f>
        <v>0</v>
      </c>
      <c r="S243" s="61">
        <f t="shared" si="1287"/>
        <v>0</v>
      </c>
      <c r="T243" s="61">
        <f t="shared" si="1287"/>
        <v>0</v>
      </c>
      <c r="U243" s="63">
        <f t="shared" si="1269"/>
        <v>0</v>
      </c>
      <c r="V243" s="63">
        <f t="shared" si="1270"/>
        <v>0</v>
      </c>
      <c r="W243" s="63">
        <f t="shared" si="1271"/>
        <v>0</v>
      </c>
      <c r="X243" s="64">
        <f t="shared" ref="X243:Y243" si="1288">IF(O243&gt;0,O243/K243,0)</f>
        <v>0</v>
      </c>
      <c r="Y243" s="64">
        <f t="shared" si="1288"/>
        <v>0</v>
      </c>
      <c r="Z243" s="64">
        <f t="shared" si="1014"/>
        <v>0</v>
      </c>
      <c r="AA243" s="65"/>
      <c r="AB243" s="65"/>
      <c r="AC243" s="65"/>
      <c r="AD243" s="65"/>
      <c r="AE243" s="66"/>
      <c r="AF243" s="66"/>
      <c r="AG243" s="66"/>
      <c r="AH243" s="66"/>
      <c r="AI243" s="65"/>
      <c r="AJ243" s="65"/>
      <c r="AK243" s="65"/>
      <c r="AL243" s="65"/>
      <c r="AM243" s="65"/>
      <c r="AN243" s="65"/>
      <c r="AO243" s="65"/>
      <c r="AP243" s="65"/>
      <c r="AQ243" s="65"/>
      <c r="AR243" s="65"/>
      <c r="AS243" s="65"/>
      <c r="AT243" s="65"/>
      <c r="AU243" s="65"/>
      <c r="AV243" s="65"/>
      <c r="AW243" s="65"/>
      <c r="AX243" s="65"/>
      <c r="AY243" s="65"/>
      <c r="AZ243" s="65"/>
      <c r="BA243" s="65"/>
      <c r="BB243" s="65"/>
      <c r="BC243" s="65"/>
      <c r="BD243" s="65"/>
      <c r="BE243" s="65"/>
      <c r="BF243" s="65"/>
      <c r="BG243" s="65"/>
      <c r="BH243" s="237"/>
      <c r="BI243" s="237"/>
      <c r="BJ243" s="237"/>
      <c r="BK243" s="65">
        <v>0</v>
      </c>
      <c r="BL243" s="65">
        <v>0</v>
      </c>
      <c r="BM243" s="65">
        <v>0</v>
      </c>
      <c r="BN243" s="65">
        <f t="shared" si="1273"/>
        <v>0</v>
      </c>
      <c r="BO243" s="67">
        <f t="shared" si="1274"/>
        <v>0</v>
      </c>
      <c r="BP243" s="65">
        <f t="shared" si="1275"/>
        <v>0</v>
      </c>
      <c r="BQ243" s="65">
        <f t="shared" si="1276"/>
        <v>0</v>
      </c>
      <c r="BR243" s="65">
        <f t="shared" si="1277"/>
        <v>0</v>
      </c>
      <c r="BS243" s="65">
        <f t="shared" si="1278"/>
        <v>0</v>
      </c>
      <c r="BT243" s="65">
        <f t="shared" si="1279"/>
        <v>0</v>
      </c>
      <c r="BU243" s="65">
        <f t="shared" si="1280"/>
        <v>0</v>
      </c>
      <c r="BV243" s="65">
        <f t="shared" si="1281"/>
        <v>0</v>
      </c>
      <c r="BW243" s="65">
        <f t="shared" si="1282"/>
        <v>0</v>
      </c>
      <c r="BX243" s="51"/>
      <c r="BY243" s="51"/>
      <c r="BZ243" s="51"/>
      <c r="CA243" s="51"/>
      <c r="CB243" s="51"/>
      <c r="CC243" s="51"/>
      <c r="CD243" s="51"/>
      <c r="CE243" s="51"/>
      <c r="CF243" s="51"/>
      <c r="CG243" s="51"/>
    </row>
    <row r="244" spans="1:85" ht="15.75" customHeight="1">
      <c r="A244" s="260"/>
      <c r="B244" s="261"/>
      <c r="C244" s="262"/>
      <c r="D244" s="78" t="s">
        <v>168</v>
      </c>
      <c r="E244" s="45">
        <f t="shared" ref="E244:H244" si="1289">E245</f>
        <v>13092.98</v>
      </c>
      <c r="F244" s="46">
        <f t="shared" si="1289"/>
        <v>0</v>
      </c>
      <c r="G244" s="46">
        <f t="shared" si="1289"/>
        <v>13092.98</v>
      </c>
      <c r="H244" s="46">
        <f t="shared" si="1289"/>
        <v>0</v>
      </c>
      <c r="I244" s="47">
        <f t="shared" si="732"/>
        <v>0</v>
      </c>
      <c r="J244" s="47">
        <f t="shared" si="733"/>
        <v>0</v>
      </c>
      <c r="K244" s="46">
        <f t="shared" ref="K244:W244" si="1290">K245</f>
        <v>0</v>
      </c>
      <c r="L244" s="46">
        <f t="shared" si="1290"/>
        <v>0</v>
      </c>
      <c r="M244" s="46">
        <f t="shared" si="1290"/>
        <v>0</v>
      </c>
      <c r="N244" s="46">
        <f t="shared" si="1290"/>
        <v>0</v>
      </c>
      <c r="O244" s="46">
        <f t="shared" si="1290"/>
        <v>0</v>
      </c>
      <c r="P244" s="46">
        <f t="shared" si="1290"/>
        <v>0</v>
      </c>
      <c r="Q244" s="46">
        <f t="shared" si="1290"/>
        <v>0</v>
      </c>
      <c r="R244" s="46">
        <f t="shared" si="1290"/>
        <v>0</v>
      </c>
      <c r="S244" s="46">
        <f t="shared" si="1290"/>
        <v>0</v>
      </c>
      <c r="T244" s="46">
        <f t="shared" si="1290"/>
        <v>0</v>
      </c>
      <c r="U244" s="46">
        <f t="shared" si="1290"/>
        <v>0</v>
      </c>
      <c r="V244" s="46">
        <f t="shared" si="1290"/>
        <v>0</v>
      </c>
      <c r="W244" s="46">
        <f t="shared" si="1290"/>
        <v>0</v>
      </c>
      <c r="X244" s="50">
        <f t="shared" ref="X244:Y244" si="1291">IF(O244&gt;0,O244/K244,0)</f>
        <v>0</v>
      </c>
      <c r="Y244" s="50">
        <f t="shared" si="1291"/>
        <v>0</v>
      </c>
      <c r="Z244" s="50">
        <f t="shared" si="1014"/>
        <v>0</v>
      </c>
      <c r="AA244" s="46">
        <f t="shared" ref="AA244:BW244" si="1292">AA245</f>
        <v>0</v>
      </c>
      <c r="AB244" s="46">
        <f t="shared" si="1292"/>
        <v>0</v>
      </c>
      <c r="AC244" s="46">
        <f t="shared" si="1292"/>
        <v>0</v>
      </c>
      <c r="AD244" s="46">
        <f t="shared" si="1292"/>
        <v>0</v>
      </c>
      <c r="AE244" s="46">
        <f t="shared" si="1292"/>
        <v>0</v>
      </c>
      <c r="AF244" s="46">
        <f t="shared" si="1292"/>
        <v>0</v>
      </c>
      <c r="AG244" s="46">
        <f t="shared" si="1292"/>
        <v>0</v>
      </c>
      <c r="AH244" s="46">
        <f t="shared" si="1292"/>
        <v>0</v>
      </c>
      <c r="AI244" s="46">
        <f t="shared" si="1292"/>
        <v>0</v>
      </c>
      <c r="AJ244" s="46">
        <f t="shared" si="1292"/>
        <v>0</v>
      </c>
      <c r="AK244" s="46">
        <f t="shared" si="1292"/>
        <v>0</v>
      </c>
      <c r="AL244" s="46">
        <f t="shared" si="1292"/>
        <v>0</v>
      </c>
      <c r="AM244" s="46">
        <f t="shared" si="1292"/>
        <v>0</v>
      </c>
      <c r="AN244" s="46">
        <f t="shared" si="1292"/>
        <v>0</v>
      </c>
      <c r="AO244" s="46">
        <f t="shared" si="1292"/>
        <v>0</v>
      </c>
      <c r="AP244" s="46">
        <f t="shared" si="1292"/>
        <v>0</v>
      </c>
      <c r="AQ244" s="46">
        <f t="shared" si="1292"/>
        <v>0</v>
      </c>
      <c r="AR244" s="46">
        <f t="shared" si="1292"/>
        <v>0</v>
      </c>
      <c r="AS244" s="46">
        <f t="shared" si="1292"/>
        <v>0</v>
      </c>
      <c r="AT244" s="46">
        <f t="shared" si="1292"/>
        <v>0</v>
      </c>
      <c r="AU244" s="46">
        <f t="shared" si="1292"/>
        <v>0</v>
      </c>
      <c r="AV244" s="46">
        <f t="shared" si="1292"/>
        <v>0</v>
      </c>
      <c r="AW244" s="46">
        <f t="shared" si="1292"/>
        <v>0</v>
      </c>
      <c r="AX244" s="46">
        <f t="shared" si="1292"/>
        <v>0</v>
      </c>
      <c r="AY244" s="46">
        <f t="shared" si="1292"/>
        <v>0</v>
      </c>
      <c r="AZ244" s="46">
        <f t="shared" si="1292"/>
        <v>0</v>
      </c>
      <c r="BA244" s="46">
        <f t="shared" si="1292"/>
        <v>0</v>
      </c>
      <c r="BB244" s="46">
        <f t="shared" si="1292"/>
        <v>0</v>
      </c>
      <c r="BC244" s="46">
        <f t="shared" si="1292"/>
        <v>0</v>
      </c>
      <c r="BD244" s="46">
        <f t="shared" si="1292"/>
        <v>0</v>
      </c>
      <c r="BE244" s="46">
        <f t="shared" si="1292"/>
        <v>0</v>
      </c>
      <c r="BF244" s="46">
        <f t="shared" si="1292"/>
        <v>0</v>
      </c>
      <c r="BG244" s="46">
        <f t="shared" si="1292"/>
        <v>0</v>
      </c>
      <c r="BH244" s="46">
        <f t="shared" si="1292"/>
        <v>0</v>
      </c>
      <c r="BI244" s="46">
        <f t="shared" si="1292"/>
        <v>0</v>
      </c>
      <c r="BJ244" s="46">
        <f t="shared" si="1292"/>
        <v>0</v>
      </c>
      <c r="BK244" s="46">
        <f t="shared" si="1292"/>
        <v>0</v>
      </c>
      <c r="BL244" s="46">
        <f t="shared" si="1292"/>
        <v>0</v>
      </c>
      <c r="BM244" s="46">
        <f t="shared" si="1292"/>
        <v>0</v>
      </c>
      <c r="BN244" s="46">
        <f t="shared" si="1292"/>
        <v>0</v>
      </c>
      <c r="BO244" s="46">
        <f t="shared" si="1292"/>
        <v>0</v>
      </c>
      <c r="BP244" s="46">
        <f t="shared" si="1292"/>
        <v>0</v>
      </c>
      <c r="BQ244" s="46">
        <f t="shared" si="1292"/>
        <v>0</v>
      </c>
      <c r="BR244" s="46">
        <f t="shared" si="1292"/>
        <v>0</v>
      </c>
      <c r="BS244" s="46">
        <f t="shared" si="1292"/>
        <v>0</v>
      </c>
      <c r="BT244" s="46">
        <f t="shared" si="1292"/>
        <v>0</v>
      </c>
      <c r="BU244" s="46">
        <f t="shared" si="1292"/>
        <v>0</v>
      </c>
      <c r="BV244" s="46">
        <f t="shared" si="1292"/>
        <v>0</v>
      </c>
      <c r="BW244" s="46">
        <f t="shared" si="1292"/>
        <v>0</v>
      </c>
      <c r="BX244" s="6"/>
      <c r="BY244" s="6"/>
      <c r="BZ244" s="6"/>
      <c r="CA244" s="6"/>
      <c r="CB244" s="6"/>
      <c r="CC244" s="6"/>
      <c r="CD244" s="6"/>
      <c r="CE244" s="6"/>
      <c r="CF244" s="6"/>
      <c r="CG244" s="6"/>
    </row>
    <row r="245" spans="1:85" ht="15.75" customHeight="1">
      <c r="A245" s="272"/>
      <c r="B245" s="273"/>
      <c r="C245" s="68" t="s">
        <v>170</v>
      </c>
      <c r="D245" s="70" t="s">
        <v>333</v>
      </c>
      <c r="E245" s="56">
        <f>21092.98-8000</f>
        <v>13092.98</v>
      </c>
      <c r="F245" s="57">
        <v>0</v>
      </c>
      <c r="G245" s="58">
        <f>E245-F245</f>
        <v>13092.98</v>
      </c>
      <c r="H245" s="57">
        <v>0</v>
      </c>
      <c r="I245" s="59">
        <f t="shared" si="732"/>
        <v>0</v>
      </c>
      <c r="J245" s="59">
        <f t="shared" si="733"/>
        <v>0</v>
      </c>
      <c r="K245" s="74">
        <v>0</v>
      </c>
      <c r="L245" s="74">
        <v>0</v>
      </c>
      <c r="M245" s="74">
        <v>0</v>
      </c>
      <c r="N245" s="74">
        <v>0</v>
      </c>
      <c r="O245" s="61">
        <f t="shared" ref="O245:Q245" si="1293">AA245+AD245+AG245+AJ245+AM245+AP245+AS245+AV245+AY245+BB245+BE245+BH245</f>
        <v>0</v>
      </c>
      <c r="P245" s="61">
        <f t="shared" si="1293"/>
        <v>0</v>
      </c>
      <c r="Q245" s="61">
        <f t="shared" si="1293"/>
        <v>0</v>
      </c>
      <c r="R245" s="61">
        <f t="shared" ref="R245:T245" si="1294">IF(BK245=0,SUM(AA245+AD245+AG245+AJ245+AM245+AP245+AS245+AV245+AY245+BB245+BE245+BH245),BK245)</f>
        <v>0</v>
      </c>
      <c r="S245" s="61">
        <f t="shared" si="1294"/>
        <v>0</v>
      </c>
      <c r="T245" s="61">
        <f t="shared" si="1294"/>
        <v>0</v>
      </c>
      <c r="U245" s="63">
        <f>K245-O245</f>
        <v>0</v>
      </c>
      <c r="V245" s="63">
        <f>L245-M245-S245</f>
        <v>0</v>
      </c>
      <c r="W245" s="63">
        <f>N245-Q245</f>
        <v>0</v>
      </c>
      <c r="X245" s="64">
        <f t="shared" ref="X245:Y245" si="1295">IF(O245&gt;0,O245/K245,0)</f>
        <v>0</v>
      </c>
      <c r="Y245" s="64">
        <f t="shared" si="1295"/>
        <v>0</v>
      </c>
      <c r="Z245" s="64">
        <f t="shared" si="1014"/>
        <v>0</v>
      </c>
      <c r="AA245" s="65"/>
      <c r="AB245" s="65"/>
      <c r="AC245" s="65"/>
      <c r="AD245" s="65"/>
      <c r="AE245" s="66"/>
      <c r="AF245" s="66"/>
      <c r="AG245" s="66"/>
      <c r="AH245" s="66"/>
      <c r="AI245" s="65"/>
      <c r="AJ245" s="65"/>
      <c r="AK245" s="65"/>
      <c r="AL245" s="65"/>
      <c r="AM245" s="65"/>
      <c r="AN245" s="65"/>
      <c r="AO245" s="65"/>
      <c r="AP245" s="65"/>
      <c r="AQ245" s="65"/>
      <c r="AR245" s="65"/>
      <c r="AS245" s="65"/>
      <c r="AT245" s="65"/>
      <c r="AU245" s="65"/>
      <c r="AV245" s="65"/>
      <c r="AW245" s="65"/>
      <c r="AX245" s="65"/>
      <c r="AY245" s="65"/>
      <c r="AZ245" s="65"/>
      <c r="BA245" s="65"/>
      <c r="BB245" s="65"/>
      <c r="BC245" s="65"/>
      <c r="BD245" s="65"/>
      <c r="BE245" s="65"/>
      <c r="BF245" s="65"/>
      <c r="BG245" s="65"/>
      <c r="BH245" s="237"/>
      <c r="BI245" s="237"/>
      <c r="BJ245" s="237"/>
      <c r="BK245" s="65">
        <v>0</v>
      </c>
      <c r="BL245" s="65">
        <v>0</v>
      </c>
      <c r="BM245" s="65">
        <v>0</v>
      </c>
      <c r="BN245" s="65">
        <f>IF(O245-BK245&gt;0,O245-BK245,0)</f>
        <v>0</v>
      </c>
      <c r="BO245" s="67">
        <f>IF(Q245-BM245&gt;0,Q245-BM245,0)</f>
        <v>0</v>
      </c>
      <c r="BP245" s="65">
        <f>IF(BN245+BO245&gt;0,BN245+BO245,0)</f>
        <v>0</v>
      </c>
      <c r="BQ245" s="65">
        <f>IF(U245=0,0,U245)</f>
        <v>0</v>
      </c>
      <c r="BR245" s="65">
        <f>IF(W245=0,0,W245)</f>
        <v>0</v>
      </c>
      <c r="BS245" s="65">
        <f>IF(BQ245+BR245&gt;0,BQ245+BR245,0)</f>
        <v>0</v>
      </c>
      <c r="BT245" s="65">
        <f>IF(V245&gt;0,V245,0)</f>
        <v>0</v>
      </c>
      <c r="BU245" s="65">
        <f>IF(BP245=0,0,BP245)</f>
        <v>0</v>
      </c>
      <c r="BV245" s="65">
        <f>IF(BS245=0,0,BS245)</f>
        <v>0</v>
      </c>
      <c r="BW245" s="65">
        <f>IF(BP245+BT245+BV245&gt;0,BP245+BT245+BV245,0)</f>
        <v>0</v>
      </c>
      <c r="BX245" s="51"/>
      <c r="BY245" s="51"/>
      <c r="BZ245" s="51"/>
      <c r="CA245" s="51"/>
      <c r="CB245" s="51"/>
      <c r="CC245" s="51"/>
      <c r="CD245" s="51"/>
      <c r="CE245" s="51"/>
      <c r="CF245" s="51"/>
      <c r="CG245" s="51"/>
    </row>
    <row r="246" spans="1:85" ht="15.75">
      <c r="A246" s="260"/>
      <c r="B246" s="261"/>
      <c r="C246" s="262"/>
      <c r="D246" s="78" t="s">
        <v>234</v>
      </c>
      <c r="E246" s="269">
        <f t="shared" ref="E246:H246" si="1296">SUM(E247:E249)</f>
        <v>0</v>
      </c>
      <c r="F246" s="269">
        <f t="shared" si="1296"/>
        <v>0</v>
      </c>
      <c r="G246" s="45">
        <f t="shared" si="1296"/>
        <v>0</v>
      </c>
      <c r="H246" s="269">
        <f t="shared" si="1296"/>
        <v>0</v>
      </c>
      <c r="I246" s="270">
        <f t="shared" si="732"/>
        <v>0</v>
      </c>
      <c r="J246" s="270">
        <f t="shared" si="733"/>
        <v>0</v>
      </c>
      <c r="K246" s="269">
        <f t="shared" ref="K246:W246" si="1297">SUM(K247:K249)</f>
        <v>0</v>
      </c>
      <c r="L246" s="269">
        <f t="shared" si="1297"/>
        <v>0</v>
      </c>
      <c r="M246" s="269">
        <f t="shared" si="1297"/>
        <v>0</v>
      </c>
      <c r="N246" s="269">
        <f t="shared" si="1297"/>
        <v>0</v>
      </c>
      <c r="O246" s="269">
        <f t="shared" si="1297"/>
        <v>0</v>
      </c>
      <c r="P246" s="269">
        <f t="shared" si="1297"/>
        <v>0</v>
      </c>
      <c r="Q246" s="269">
        <f t="shared" si="1297"/>
        <v>0</v>
      </c>
      <c r="R246" s="269">
        <f t="shared" si="1297"/>
        <v>0</v>
      </c>
      <c r="S246" s="269">
        <f t="shared" si="1297"/>
        <v>0</v>
      </c>
      <c r="T246" s="269">
        <f t="shared" si="1297"/>
        <v>0</v>
      </c>
      <c r="U246" s="269">
        <f t="shared" si="1297"/>
        <v>0</v>
      </c>
      <c r="V246" s="269">
        <f t="shared" si="1297"/>
        <v>0</v>
      </c>
      <c r="W246" s="269">
        <f t="shared" si="1297"/>
        <v>0</v>
      </c>
      <c r="X246" s="271">
        <f t="shared" ref="X246:Y246" si="1298">IF(O246&gt;0,O246/K246,0)</f>
        <v>0</v>
      </c>
      <c r="Y246" s="271">
        <f t="shared" si="1298"/>
        <v>0</v>
      </c>
      <c r="Z246" s="271">
        <f t="shared" si="1014"/>
        <v>0</v>
      </c>
      <c r="AA246" s="269">
        <f t="shared" ref="AA246:BW246" si="1299">SUM(AA247:AA249)</f>
        <v>0</v>
      </c>
      <c r="AB246" s="269">
        <f t="shared" si="1299"/>
        <v>0</v>
      </c>
      <c r="AC246" s="269">
        <f t="shared" si="1299"/>
        <v>0</v>
      </c>
      <c r="AD246" s="269">
        <f t="shared" si="1299"/>
        <v>0</v>
      </c>
      <c r="AE246" s="269">
        <f t="shared" si="1299"/>
        <v>0</v>
      </c>
      <c r="AF246" s="269">
        <f t="shared" si="1299"/>
        <v>0</v>
      </c>
      <c r="AG246" s="269">
        <f t="shared" si="1299"/>
        <v>0</v>
      </c>
      <c r="AH246" s="269">
        <f t="shared" si="1299"/>
        <v>0</v>
      </c>
      <c r="AI246" s="269">
        <f t="shared" si="1299"/>
        <v>0</v>
      </c>
      <c r="AJ246" s="269">
        <f t="shared" si="1299"/>
        <v>0</v>
      </c>
      <c r="AK246" s="269">
        <f t="shared" si="1299"/>
        <v>0</v>
      </c>
      <c r="AL246" s="269">
        <f t="shared" si="1299"/>
        <v>0</v>
      </c>
      <c r="AM246" s="269">
        <f t="shared" si="1299"/>
        <v>0</v>
      </c>
      <c r="AN246" s="269">
        <f t="shared" si="1299"/>
        <v>0</v>
      </c>
      <c r="AO246" s="269">
        <f t="shared" si="1299"/>
        <v>0</v>
      </c>
      <c r="AP246" s="269">
        <f t="shared" si="1299"/>
        <v>0</v>
      </c>
      <c r="AQ246" s="269">
        <f t="shared" si="1299"/>
        <v>0</v>
      </c>
      <c r="AR246" s="269">
        <f t="shared" si="1299"/>
        <v>0</v>
      </c>
      <c r="AS246" s="269">
        <f t="shared" si="1299"/>
        <v>0</v>
      </c>
      <c r="AT246" s="269">
        <f t="shared" si="1299"/>
        <v>0</v>
      </c>
      <c r="AU246" s="269">
        <f t="shared" si="1299"/>
        <v>0</v>
      </c>
      <c r="AV246" s="269">
        <f t="shared" si="1299"/>
        <v>0</v>
      </c>
      <c r="AW246" s="269">
        <f t="shared" si="1299"/>
        <v>0</v>
      </c>
      <c r="AX246" s="269">
        <f t="shared" si="1299"/>
        <v>0</v>
      </c>
      <c r="AY246" s="269">
        <f t="shared" si="1299"/>
        <v>0</v>
      </c>
      <c r="AZ246" s="269">
        <f t="shared" si="1299"/>
        <v>0</v>
      </c>
      <c r="BA246" s="269">
        <f t="shared" si="1299"/>
        <v>0</v>
      </c>
      <c r="BB246" s="269">
        <f t="shared" si="1299"/>
        <v>0</v>
      </c>
      <c r="BC246" s="269">
        <f t="shared" si="1299"/>
        <v>0</v>
      </c>
      <c r="BD246" s="269">
        <f t="shared" si="1299"/>
        <v>0</v>
      </c>
      <c r="BE246" s="269">
        <f t="shared" si="1299"/>
        <v>0</v>
      </c>
      <c r="BF246" s="269">
        <f t="shared" si="1299"/>
        <v>0</v>
      </c>
      <c r="BG246" s="269">
        <f t="shared" si="1299"/>
        <v>0</v>
      </c>
      <c r="BH246" s="269">
        <f t="shared" si="1299"/>
        <v>0</v>
      </c>
      <c r="BI246" s="269">
        <f t="shared" si="1299"/>
        <v>0</v>
      </c>
      <c r="BJ246" s="269">
        <f t="shared" si="1299"/>
        <v>0</v>
      </c>
      <c r="BK246" s="269">
        <f t="shared" si="1299"/>
        <v>0</v>
      </c>
      <c r="BL246" s="269">
        <f t="shared" si="1299"/>
        <v>0</v>
      </c>
      <c r="BM246" s="269">
        <f t="shared" si="1299"/>
        <v>0</v>
      </c>
      <c r="BN246" s="269">
        <f t="shared" si="1299"/>
        <v>0</v>
      </c>
      <c r="BO246" s="269">
        <f t="shared" si="1299"/>
        <v>0</v>
      </c>
      <c r="BP246" s="269">
        <f t="shared" si="1299"/>
        <v>0</v>
      </c>
      <c r="BQ246" s="269">
        <f t="shared" si="1299"/>
        <v>0</v>
      </c>
      <c r="BR246" s="269">
        <f t="shared" si="1299"/>
        <v>0</v>
      </c>
      <c r="BS246" s="269">
        <f t="shared" si="1299"/>
        <v>0</v>
      </c>
      <c r="BT246" s="269">
        <f t="shared" si="1299"/>
        <v>0</v>
      </c>
      <c r="BU246" s="269">
        <f t="shared" si="1299"/>
        <v>0</v>
      </c>
      <c r="BV246" s="269">
        <f t="shared" si="1299"/>
        <v>0</v>
      </c>
      <c r="BW246" s="269">
        <f t="shared" si="1299"/>
        <v>0</v>
      </c>
      <c r="BX246" s="6"/>
      <c r="BY246" s="6"/>
      <c r="BZ246" s="6"/>
      <c r="CA246" s="6"/>
      <c r="CB246" s="6"/>
      <c r="CC246" s="6"/>
      <c r="CD246" s="6"/>
      <c r="CE246" s="6"/>
      <c r="CF246" s="6"/>
      <c r="CG246" s="6"/>
    </row>
    <row r="247" spans="1:85" ht="15.75" customHeight="1">
      <c r="A247" s="275"/>
      <c r="B247" s="276"/>
      <c r="C247" s="68" t="s">
        <v>371</v>
      </c>
      <c r="D247" s="243" t="s">
        <v>395</v>
      </c>
      <c r="E247" s="57">
        <v>0</v>
      </c>
      <c r="F247" s="57">
        <v>0</v>
      </c>
      <c r="G247" s="58">
        <f t="shared" ref="G247:G249" si="1300">E247-F247</f>
        <v>0</v>
      </c>
      <c r="H247" s="57">
        <v>0</v>
      </c>
      <c r="I247" s="59">
        <f t="shared" si="732"/>
        <v>0</v>
      </c>
      <c r="J247" s="59">
        <f t="shared" si="733"/>
        <v>0</v>
      </c>
      <c r="K247" s="74">
        <v>0</v>
      </c>
      <c r="L247" s="74">
        <v>0</v>
      </c>
      <c r="M247" s="74">
        <v>0</v>
      </c>
      <c r="N247" s="74">
        <v>0</v>
      </c>
      <c r="O247" s="61">
        <f t="shared" ref="O247:Q247" si="1301">AA247+AD247+AG247+AJ247+AM247+AP247+AS247+AV247+AY247+BB247+BE247+BH247</f>
        <v>0</v>
      </c>
      <c r="P247" s="61">
        <f t="shared" si="1301"/>
        <v>0</v>
      </c>
      <c r="Q247" s="61">
        <f t="shared" si="1301"/>
        <v>0</v>
      </c>
      <c r="R247" s="61">
        <f t="shared" ref="R247:T247" si="1302">IF(BK247=0,SUM(AA247+AD247+AG247+AJ247+AM247+AP247+AS247+AV247+AY247+BB247+BE247+BH247),BK247)</f>
        <v>0</v>
      </c>
      <c r="S247" s="61">
        <f t="shared" si="1302"/>
        <v>0</v>
      </c>
      <c r="T247" s="61">
        <f t="shared" si="1302"/>
        <v>0</v>
      </c>
      <c r="U247" s="63">
        <f t="shared" ref="U247:U249" si="1303">K247-O247</f>
        <v>0</v>
      </c>
      <c r="V247" s="63">
        <f t="shared" ref="V247:V249" si="1304">L247-M247-S247</f>
        <v>0</v>
      </c>
      <c r="W247" s="63">
        <f t="shared" ref="W247:W249" si="1305">N247-Q247</f>
        <v>0</v>
      </c>
      <c r="X247" s="64">
        <f t="shared" ref="X247:Y247" si="1306">IF(O247&gt;0,O247/K247,0)</f>
        <v>0</v>
      </c>
      <c r="Y247" s="64">
        <f t="shared" si="1306"/>
        <v>0</v>
      </c>
      <c r="Z247" s="64">
        <f t="shared" si="1014"/>
        <v>0</v>
      </c>
      <c r="AA247" s="65"/>
      <c r="AB247" s="65"/>
      <c r="AC247" s="65"/>
      <c r="AD247" s="65"/>
      <c r="AE247" s="66"/>
      <c r="AF247" s="66"/>
      <c r="AG247" s="66"/>
      <c r="AH247" s="66"/>
      <c r="AI247" s="65"/>
      <c r="AJ247" s="65"/>
      <c r="AK247" s="65"/>
      <c r="AL247" s="65"/>
      <c r="AM247" s="65"/>
      <c r="AN247" s="65"/>
      <c r="AO247" s="65"/>
      <c r="AP247" s="65"/>
      <c r="AQ247" s="65"/>
      <c r="AR247" s="65"/>
      <c r="AS247" s="65"/>
      <c r="AT247" s="65"/>
      <c r="AU247" s="65"/>
      <c r="AV247" s="65"/>
      <c r="AW247" s="65"/>
      <c r="AX247" s="65"/>
      <c r="AY247" s="65"/>
      <c r="AZ247" s="65"/>
      <c r="BA247" s="65"/>
      <c r="BB247" s="65"/>
      <c r="BC247" s="65"/>
      <c r="BD247" s="65"/>
      <c r="BE247" s="65"/>
      <c r="BF247" s="65"/>
      <c r="BG247" s="65"/>
      <c r="BH247" s="237"/>
      <c r="BI247" s="237"/>
      <c r="BJ247" s="237"/>
      <c r="BK247" s="65">
        <v>0</v>
      </c>
      <c r="BL247" s="65">
        <v>0</v>
      </c>
      <c r="BM247" s="65">
        <v>0</v>
      </c>
      <c r="BN247" s="65">
        <f t="shared" ref="BN247:BN249" si="1307">IF(O247-BK247&gt;0,O247-BK247,0)</f>
        <v>0</v>
      </c>
      <c r="BO247" s="67">
        <f t="shared" ref="BO247:BO249" si="1308">IF(Q247-BM247&gt;0,Q247-BM247,0)</f>
        <v>0</v>
      </c>
      <c r="BP247" s="65">
        <f t="shared" ref="BP247:BP249" si="1309">IF(BN247+BO247&gt;0,BN247+BO247,0)</f>
        <v>0</v>
      </c>
      <c r="BQ247" s="65">
        <f t="shared" ref="BQ247:BQ249" si="1310">IF(U247=0,0,U247)</f>
        <v>0</v>
      </c>
      <c r="BR247" s="65">
        <f t="shared" ref="BR247:BR249" si="1311">IF(W247=0,0,W247)</f>
        <v>0</v>
      </c>
      <c r="BS247" s="65">
        <f t="shared" ref="BS247:BS249" si="1312">IF(BQ247+BR247&gt;0,BQ247+BR247,0)</f>
        <v>0</v>
      </c>
      <c r="BT247" s="65">
        <f t="shared" ref="BT247:BT249" si="1313">IF(V247&gt;0,V247,0)</f>
        <v>0</v>
      </c>
      <c r="BU247" s="65">
        <f t="shared" ref="BU247:BU249" si="1314">IF(BP247=0,0,BP247)</f>
        <v>0</v>
      </c>
      <c r="BV247" s="65">
        <f t="shared" ref="BV247:BV249" si="1315">IF(BS247=0,0,BS247)</f>
        <v>0</v>
      </c>
      <c r="BW247" s="65">
        <f t="shared" ref="BW247:BW249" si="1316">IF(BP247+BT247+BV247&gt;0,BP247+BT247+BV247,0)</f>
        <v>0</v>
      </c>
      <c r="BX247" s="6"/>
      <c r="BY247" s="6"/>
      <c r="BZ247" s="6"/>
      <c r="CA247" s="6"/>
      <c r="CB247" s="6"/>
      <c r="CC247" s="6"/>
      <c r="CD247" s="6"/>
      <c r="CE247" s="6"/>
      <c r="CF247" s="6"/>
      <c r="CG247" s="6"/>
    </row>
    <row r="248" spans="1:85" ht="15.75" customHeight="1">
      <c r="A248" s="275"/>
      <c r="B248" s="276"/>
      <c r="C248" s="68" t="s">
        <v>368</v>
      </c>
      <c r="D248" s="243" t="s">
        <v>396</v>
      </c>
      <c r="E248" s="57">
        <v>0</v>
      </c>
      <c r="F248" s="57">
        <v>0</v>
      </c>
      <c r="G248" s="58">
        <f t="shared" si="1300"/>
        <v>0</v>
      </c>
      <c r="H248" s="57">
        <v>0</v>
      </c>
      <c r="I248" s="59">
        <f t="shared" si="732"/>
        <v>0</v>
      </c>
      <c r="J248" s="59">
        <f t="shared" si="733"/>
        <v>0</v>
      </c>
      <c r="K248" s="74">
        <v>0</v>
      </c>
      <c r="L248" s="74">
        <v>0</v>
      </c>
      <c r="M248" s="74">
        <v>0</v>
      </c>
      <c r="N248" s="74">
        <v>0</v>
      </c>
      <c r="O248" s="61">
        <f t="shared" ref="O248:Q248" si="1317">AA248+AD248+AG248+AJ248+AM248+AP248+AS248+AV248+AY248+BB248+BE248+BH248</f>
        <v>0</v>
      </c>
      <c r="P248" s="61">
        <f t="shared" si="1317"/>
        <v>0</v>
      </c>
      <c r="Q248" s="61">
        <f t="shared" si="1317"/>
        <v>0</v>
      </c>
      <c r="R248" s="61">
        <f t="shared" ref="R248:T248" si="1318">IF(BK248=0,SUM(AA248+AD248+AG248+AJ248+AM248+AP248+AS248+AV248+AY248+BB248+BE248+BH248),BK248)</f>
        <v>0</v>
      </c>
      <c r="S248" s="61">
        <f t="shared" si="1318"/>
        <v>0</v>
      </c>
      <c r="T248" s="61">
        <f t="shared" si="1318"/>
        <v>0</v>
      </c>
      <c r="U248" s="63">
        <f t="shared" si="1303"/>
        <v>0</v>
      </c>
      <c r="V248" s="63">
        <f t="shared" si="1304"/>
        <v>0</v>
      </c>
      <c r="W248" s="63">
        <f t="shared" si="1305"/>
        <v>0</v>
      </c>
      <c r="X248" s="64">
        <f t="shared" ref="X248:Y248" si="1319">IF(O248&gt;0,O248/K248,0)</f>
        <v>0</v>
      </c>
      <c r="Y248" s="64">
        <f t="shared" si="1319"/>
        <v>0</v>
      </c>
      <c r="Z248" s="64">
        <f t="shared" si="1014"/>
        <v>0</v>
      </c>
      <c r="AA248" s="65"/>
      <c r="AB248" s="65"/>
      <c r="AC248" s="65"/>
      <c r="AD248" s="65"/>
      <c r="AE248" s="66"/>
      <c r="AF248" s="66"/>
      <c r="AG248" s="66"/>
      <c r="AH248" s="66"/>
      <c r="AI248" s="65"/>
      <c r="AJ248" s="65"/>
      <c r="AK248" s="65"/>
      <c r="AL248" s="65"/>
      <c r="AM248" s="65"/>
      <c r="AN248" s="65"/>
      <c r="AO248" s="65"/>
      <c r="AP248" s="65"/>
      <c r="AQ248" s="65"/>
      <c r="AR248" s="65"/>
      <c r="AS248" s="65"/>
      <c r="AT248" s="65"/>
      <c r="AU248" s="65"/>
      <c r="AV248" s="65"/>
      <c r="AW248" s="65"/>
      <c r="AX248" s="65"/>
      <c r="AY248" s="65"/>
      <c r="AZ248" s="65"/>
      <c r="BA248" s="65"/>
      <c r="BB248" s="65"/>
      <c r="BC248" s="65"/>
      <c r="BD248" s="65"/>
      <c r="BE248" s="65"/>
      <c r="BF248" s="65"/>
      <c r="BG248" s="65"/>
      <c r="BH248" s="237"/>
      <c r="BI248" s="237"/>
      <c r="BJ248" s="237"/>
      <c r="BK248" s="65">
        <v>0</v>
      </c>
      <c r="BL248" s="65">
        <v>0</v>
      </c>
      <c r="BM248" s="65">
        <v>0</v>
      </c>
      <c r="BN248" s="65">
        <f t="shared" si="1307"/>
        <v>0</v>
      </c>
      <c r="BO248" s="67">
        <f t="shared" si="1308"/>
        <v>0</v>
      </c>
      <c r="BP248" s="65">
        <f t="shared" si="1309"/>
        <v>0</v>
      </c>
      <c r="BQ248" s="65">
        <f t="shared" si="1310"/>
        <v>0</v>
      </c>
      <c r="BR248" s="65">
        <f t="shared" si="1311"/>
        <v>0</v>
      </c>
      <c r="BS248" s="65">
        <f t="shared" si="1312"/>
        <v>0</v>
      </c>
      <c r="BT248" s="65">
        <f t="shared" si="1313"/>
        <v>0</v>
      </c>
      <c r="BU248" s="65">
        <f t="shared" si="1314"/>
        <v>0</v>
      </c>
      <c r="BV248" s="65">
        <f t="shared" si="1315"/>
        <v>0</v>
      </c>
      <c r="BW248" s="65">
        <f t="shared" si="1316"/>
        <v>0</v>
      </c>
      <c r="BX248" s="6"/>
      <c r="BY248" s="6"/>
      <c r="BZ248" s="6"/>
      <c r="CA248" s="6"/>
      <c r="CB248" s="6"/>
      <c r="CC248" s="6"/>
      <c r="CD248" s="6"/>
      <c r="CE248" s="6"/>
      <c r="CF248" s="6"/>
      <c r="CG248" s="6"/>
    </row>
    <row r="249" spans="1:85" ht="15.75" customHeight="1">
      <c r="A249" s="238"/>
      <c r="B249" s="239"/>
      <c r="C249" s="71" t="s">
        <v>378</v>
      </c>
      <c r="D249" s="277" t="s">
        <v>397</v>
      </c>
      <c r="E249" s="57">
        <v>0</v>
      </c>
      <c r="F249" s="57">
        <v>0</v>
      </c>
      <c r="G249" s="58">
        <f t="shared" si="1300"/>
        <v>0</v>
      </c>
      <c r="H249" s="57">
        <v>0</v>
      </c>
      <c r="I249" s="59">
        <f t="shared" si="732"/>
        <v>0</v>
      </c>
      <c r="J249" s="59">
        <f t="shared" si="733"/>
        <v>0</v>
      </c>
      <c r="K249" s="74">
        <v>0</v>
      </c>
      <c r="L249" s="74">
        <v>0</v>
      </c>
      <c r="M249" s="74">
        <v>0</v>
      </c>
      <c r="N249" s="74">
        <v>0</v>
      </c>
      <c r="O249" s="61">
        <f t="shared" ref="O249:Q249" si="1320">AA249+AD249+AG249+AJ249+AM249+AP249+AS249+AV249+AY249+BB249+BE249+BH249</f>
        <v>0</v>
      </c>
      <c r="P249" s="61">
        <f t="shared" si="1320"/>
        <v>0</v>
      </c>
      <c r="Q249" s="61">
        <f t="shared" si="1320"/>
        <v>0</v>
      </c>
      <c r="R249" s="61">
        <f t="shared" ref="R249:T249" si="1321">IF(BK249=0,SUM(AA249+AD249+AG249+AJ249+AM249+AP249+AS249+AV249+AY249+BB249+BE249+BH249),BK249)</f>
        <v>0</v>
      </c>
      <c r="S249" s="61">
        <f t="shared" si="1321"/>
        <v>0</v>
      </c>
      <c r="T249" s="61">
        <f t="shared" si="1321"/>
        <v>0</v>
      </c>
      <c r="U249" s="63">
        <f t="shared" si="1303"/>
        <v>0</v>
      </c>
      <c r="V249" s="63">
        <f t="shared" si="1304"/>
        <v>0</v>
      </c>
      <c r="W249" s="63">
        <f t="shared" si="1305"/>
        <v>0</v>
      </c>
      <c r="X249" s="64">
        <f t="shared" ref="X249:Y249" si="1322">IF(O249&gt;0,O249/K249,0)</f>
        <v>0</v>
      </c>
      <c r="Y249" s="64">
        <f t="shared" si="1322"/>
        <v>0</v>
      </c>
      <c r="Z249" s="64">
        <f t="shared" si="1014"/>
        <v>0</v>
      </c>
      <c r="AA249" s="65"/>
      <c r="AB249" s="65"/>
      <c r="AC249" s="65"/>
      <c r="AD249" s="65"/>
      <c r="AE249" s="66"/>
      <c r="AF249" s="66"/>
      <c r="AG249" s="66"/>
      <c r="AH249" s="66"/>
      <c r="AI249" s="65"/>
      <c r="AJ249" s="65"/>
      <c r="AK249" s="65"/>
      <c r="AL249" s="65"/>
      <c r="AM249" s="65"/>
      <c r="AN249" s="65"/>
      <c r="AO249" s="65"/>
      <c r="AP249" s="65"/>
      <c r="AQ249" s="65"/>
      <c r="AR249" s="65"/>
      <c r="AS249" s="65"/>
      <c r="AT249" s="65"/>
      <c r="AU249" s="65"/>
      <c r="AV249" s="65"/>
      <c r="AW249" s="65"/>
      <c r="AX249" s="65"/>
      <c r="AY249" s="65"/>
      <c r="AZ249" s="65"/>
      <c r="BA249" s="65"/>
      <c r="BB249" s="65"/>
      <c r="BC249" s="65"/>
      <c r="BD249" s="65"/>
      <c r="BE249" s="65"/>
      <c r="BF249" s="65"/>
      <c r="BG249" s="65"/>
      <c r="BH249" s="237"/>
      <c r="BI249" s="237"/>
      <c r="BJ249" s="237"/>
      <c r="BK249" s="65">
        <v>0</v>
      </c>
      <c r="BL249" s="65">
        <v>0</v>
      </c>
      <c r="BM249" s="65">
        <v>0</v>
      </c>
      <c r="BN249" s="65">
        <f t="shared" si="1307"/>
        <v>0</v>
      </c>
      <c r="BO249" s="67">
        <f t="shared" si="1308"/>
        <v>0</v>
      </c>
      <c r="BP249" s="65">
        <f t="shared" si="1309"/>
        <v>0</v>
      </c>
      <c r="BQ249" s="65">
        <f t="shared" si="1310"/>
        <v>0</v>
      </c>
      <c r="BR249" s="65">
        <f t="shared" si="1311"/>
        <v>0</v>
      </c>
      <c r="BS249" s="65">
        <f t="shared" si="1312"/>
        <v>0</v>
      </c>
      <c r="BT249" s="65">
        <f t="shared" si="1313"/>
        <v>0</v>
      </c>
      <c r="BU249" s="65">
        <f t="shared" si="1314"/>
        <v>0</v>
      </c>
      <c r="BV249" s="65">
        <f t="shared" si="1315"/>
        <v>0</v>
      </c>
      <c r="BW249" s="65">
        <f t="shared" si="1316"/>
        <v>0</v>
      </c>
      <c r="BX249" s="6"/>
      <c r="BY249" s="6"/>
      <c r="BZ249" s="6"/>
      <c r="CA249" s="6"/>
      <c r="CB249" s="6"/>
      <c r="CC249" s="6"/>
      <c r="CD249" s="6"/>
      <c r="CE249" s="6"/>
      <c r="CF249" s="6"/>
      <c r="CG249" s="6"/>
    </row>
    <row r="250" spans="1:85" ht="15.75" customHeight="1">
      <c r="A250" s="34"/>
      <c r="B250" s="35"/>
      <c r="C250" s="36"/>
      <c r="D250" s="37" t="s">
        <v>79</v>
      </c>
      <c r="E250" s="38">
        <f t="shared" ref="E250:H250" si="1323">E251+E254+E257+E259</f>
        <v>0</v>
      </c>
      <c r="F250" s="38">
        <f t="shared" si="1323"/>
        <v>0</v>
      </c>
      <c r="G250" s="38">
        <f t="shared" si="1323"/>
        <v>0</v>
      </c>
      <c r="H250" s="38">
        <f t="shared" si="1323"/>
        <v>250000</v>
      </c>
      <c r="I250" s="39">
        <f t="shared" si="732"/>
        <v>0</v>
      </c>
      <c r="J250" s="39">
        <f t="shared" si="733"/>
        <v>0</v>
      </c>
      <c r="K250" s="38">
        <f t="shared" ref="K250:W250" si="1324">K251+K254+K257+K259</f>
        <v>0</v>
      </c>
      <c r="L250" s="38">
        <f t="shared" si="1324"/>
        <v>39015</v>
      </c>
      <c r="M250" s="38">
        <f t="shared" si="1324"/>
        <v>0</v>
      </c>
      <c r="N250" s="38">
        <f t="shared" si="1324"/>
        <v>86007</v>
      </c>
      <c r="O250" s="38">
        <f t="shared" si="1324"/>
        <v>0</v>
      </c>
      <c r="P250" s="38">
        <f t="shared" si="1324"/>
        <v>11460</v>
      </c>
      <c r="Q250" s="38">
        <f t="shared" si="1324"/>
        <v>86007</v>
      </c>
      <c r="R250" s="38">
        <f t="shared" si="1324"/>
        <v>0</v>
      </c>
      <c r="S250" s="38">
        <f t="shared" si="1324"/>
        <v>11460</v>
      </c>
      <c r="T250" s="38">
        <f t="shared" si="1324"/>
        <v>86007</v>
      </c>
      <c r="U250" s="38">
        <f t="shared" si="1324"/>
        <v>0</v>
      </c>
      <c r="V250" s="38">
        <f t="shared" si="1324"/>
        <v>27555</v>
      </c>
      <c r="W250" s="38">
        <f t="shared" si="1324"/>
        <v>0</v>
      </c>
      <c r="X250" s="40">
        <f t="shared" ref="X250:Y250" si="1325">IF(O250&gt;0,O250/K250,0)</f>
        <v>0</v>
      </c>
      <c r="Y250" s="40">
        <f t="shared" si="1325"/>
        <v>0.29373317954632833</v>
      </c>
      <c r="Z250" s="40">
        <f t="shared" si="1014"/>
        <v>1</v>
      </c>
      <c r="AA250" s="38">
        <f t="shared" ref="AA250:BW250" si="1326">AA251+AA254+AA257+AA259</f>
        <v>0</v>
      </c>
      <c r="AB250" s="38">
        <f t="shared" si="1326"/>
        <v>11460</v>
      </c>
      <c r="AC250" s="38">
        <f t="shared" si="1326"/>
        <v>0</v>
      </c>
      <c r="AD250" s="38">
        <f t="shared" si="1326"/>
        <v>0</v>
      </c>
      <c r="AE250" s="38">
        <f t="shared" si="1326"/>
        <v>0</v>
      </c>
      <c r="AF250" s="38">
        <f t="shared" si="1326"/>
        <v>0</v>
      </c>
      <c r="AG250" s="38">
        <f t="shared" si="1326"/>
        <v>0</v>
      </c>
      <c r="AH250" s="38">
        <f t="shared" si="1326"/>
        <v>0</v>
      </c>
      <c r="AI250" s="38">
        <f t="shared" si="1326"/>
        <v>40377</v>
      </c>
      <c r="AJ250" s="38">
        <f t="shared" si="1326"/>
        <v>0</v>
      </c>
      <c r="AK250" s="38">
        <f t="shared" si="1326"/>
        <v>0</v>
      </c>
      <c r="AL250" s="38">
        <f t="shared" si="1326"/>
        <v>0</v>
      </c>
      <c r="AM250" s="38">
        <f t="shared" si="1326"/>
        <v>0</v>
      </c>
      <c r="AN250" s="38">
        <f t="shared" si="1326"/>
        <v>0</v>
      </c>
      <c r="AO250" s="38">
        <f t="shared" si="1326"/>
        <v>45630</v>
      </c>
      <c r="AP250" s="38">
        <f t="shared" si="1326"/>
        <v>0</v>
      </c>
      <c r="AQ250" s="38">
        <f t="shared" si="1326"/>
        <v>0</v>
      </c>
      <c r="AR250" s="38">
        <f t="shared" si="1326"/>
        <v>0</v>
      </c>
      <c r="AS250" s="38">
        <f t="shared" si="1326"/>
        <v>0</v>
      </c>
      <c r="AT250" s="38">
        <f t="shared" si="1326"/>
        <v>0</v>
      </c>
      <c r="AU250" s="38">
        <f t="shared" si="1326"/>
        <v>0</v>
      </c>
      <c r="AV250" s="38">
        <f t="shared" si="1326"/>
        <v>0</v>
      </c>
      <c r="AW250" s="38">
        <f t="shared" si="1326"/>
        <v>0</v>
      </c>
      <c r="AX250" s="38">
        <f t="shared" si="1326"/>
        <v>0</v>
      </c>
      <c r="AY250" s="38">
        <f t="shared" si="1326"/>
        <v>0</v>
      </c>
      <c r="AZ250" s="38">
        <f t="shared" si="1326"/>
        <v>0</v>
      </c>
      <c r="BA250" s="38">
        <f t="shared" si="1326"/>
        <v>0</v>
      </c>
      <c r="BB250" s="38">
        <f t="shared" si="1326"/>
        <v>0</v>
      </c>
      <c r="BC250" s="38">
        <f t="shared" si="1326"/>
        <v>0</v>
      </c>
      <c r="BD250" s="38">
        <f t="shared" si="1326"/>
        <v>0</v>
      </c>
      <c r="BE250" s="38">
        <f t="shared" si="1326"/>
        <v>0</v>
      </c>
      <c r="BF250" s="38">
        <f t="shared" si="1326"/>
        <v>0</v>
      </c>
      <c r="BG250" s="38">
        <f t="shared" si="1326"/>
        <v>0</v>
      </c>
      <c r="BH250" s="38">
        <f t="shared" si="1326"/>
        <v>0</v>
      </c>
      <c r="BI250" s="38">
        <f t="shared" si="1326"/>
        <v>0</v>
      </c>
      <c r="BJ250" s="38">
        <f t="shared" si="1326"/>
        <v>0</v>
      </c>
      <c r="BK250" s="38">
        <f t="shared" si="1326"/>
        <v>0</v>
      </c>
      <c r="BL250" s="38">
        <f t="shared" si="1326"/>
        <v>0</v>
      </c>
      <c r="BM250" s="38">
        <f t="shared" si="1326"/>
        <v>0</v>
      </c>
      <c r="BN250" s="38">
        <f t="shared" si="1326"/>
        <v>0</v>
      </c>
      <c r="BO250" s="38">
        <f t="shared" si="1326"/>
        <v>86007</v>
      </c>
      <c r="BP250" s="38">
        <f t="shared" si="1326"/>
        <v>86007</v>
      </c>
      <c r="BQ250" s="38">
        <f t="shared" si="1326"/>
        <v>0</v>
      </c>
      <c r="BR250" s="38">
        <f t="shared" si="1326"/>
        <v>0</v>
      </c>
      <c r="BS250" s="38">
        <f t="shared" si="1326"/>
        <v>0</v>
      </c>
      <c r="BT250" s="38">
        <f t="shared" si="1326"/>
        <v>27555</v>
      </c>
      <c r="BU250" s="38">
        <f t="shared" si="1326"/>
        <v>86007</v>
      </c>
      <c r="BV250" s="38">
        <f t="shared" si="1326"/>
        <v>0</v>
      </c>
      <c r="BW250" s="38">
        <f t="shared" si="1326"/>
        <v>113562</v>
      </c>
      <c r="BX250" s="6"/>
      <c r="BY250" s="6"/>
      <c r="BZ250" s="6"/>
      <c r="CA250" s="6"/>
      <c r="CB250" s="6"/>
      <c r="CC250" s="6"/>
      <c r="CD250" s="6"/>
      <c r="CE250" s="6"/>
      <c r="CF250" s="6"/>
      <c r="CG250" s="6"/>
    </row>
    <row r="251" spans="1:85" ht="15.75">
      <c r="A251" s="260"/>
      <c r="B251" s="261"/>
      <c r="C251" s="262"/>
      <c r="D251" s="78" t="s">
        <v>264</v>
      </c>
      <c r="E251" s="269">
        <f t="shared" ref="E251:H251" si="1327">SUM(E252:E253)</f>
        <v>0</v>
      </c>
      <c r="F251" s="269">
        <f t="shared" si="1327"/>
        <v>0</v>
      </c>
      <c r="G251" s="45">
        <f t="shared" si="1327"/>
        <v>0</v>
      </c>
      <c r="H251" s="269">
        <f t="shared" si="1327"/>
        <v>250000</v>
      </c>
      <c r="I251" s="270">
        <f t="shared" si="732"/>
        <v>0</v>
      </c>
      <c r="J251" s="270">
        <f t="shared" si="733"/>
        <v>0</v>
      </c>
      <c r="K251" s="269">
        <f t="shared" ref="K251:W251" si="1328">SUM(K252:K253)</f>
        <v>0</v>
      </c>
      <c r="L251" s="269">
        <f t="shared" si="1328"/>
        <v>0</v>
      </c>
      <c r="M251" s="269">
        <f t="shared" si="1328"/>
        <v>0</v>
      </c>
      <c r="N251" s="269">
        <f t="shared" si="1328"/>
        <v>0</v>
      </c>
      <c r="O251" s="269">
        <f t="shared" si="1328"/>
        <v>0</v>
      </c>
      <c r="P251" s="269">
        <f t="shared" si="1328"/>
        <v>0</v>
      </c>
      <c r="Q251" s="269">
        <f t="shared" si="1328"/>
        <v>0</v>
      </c>
      <c r="R251" s="269">
        <f t="shared" si="1328"/>
        <v>0</v>
      </c>
      <c r="S251" s="269">
        <f t="shared" si="1328"/>
        <v>0</v>
      </c>
      <c r="T251" s="269">
        <f t="shared" si="1328"/>
        <v>0</v>
      </c>
      <c r="U251" s="269">
        <f t="shared" si="1328"/>
        <v>0</v>
      </c>
      <c r="V251" s="269">
        <f t="shared" si="1328"/>
        <v>0</v>
      </c>
      <c r="W251" s="269">
        <f t="shared" si="1328"/>
        <v>0</v>
      </c>
      <c r="X251" s="271">
        <f t="shared" ref="X251:Y251" si="1329">IF(O251&gt;0,O251/K251,0)</f>
        <v>0</v>
      </c>
      <c r="Y251" s="271">
        <f t="shared" si="1329"/>
        <v>0</v>
      </c>
      <c r="Z251" s="271">
        <f t="shared" si="1014"/>
        <v>0</v>
      </c>
      <c r="AA251" s="269">
        <f t="shared" ref="AA251:BW251" si="1330">SUM(AA252:AA253)</f>
        <v>0</v>
      </c>
      <c r="AB251" s="269">
        <f t="shared" si="1330"/>
        <v>0</v>
      </c>
      <c r="AC251" s="269">
        <f t="shared" si="1330"/>
        <v>0</v>
      </c>
      <c r="AD251" s="269">
        <f t="shared" si="1330"/>
        <v>0</v>
      </c>
      <c r="AE251" s="269">
        <f t="shared" si="1330"/>
        <v>0</v>
      </c>
      <c r="AF251" s="269">
        <f t="shared" si="1330"/>
        <v>0</v>
      </c>
      <c r="AG251" s="269">
        <f t="shared" si="1330"/>
        <v>0</v>
      </c>
      <c r="AH251" s="269">
        <f t="shared" si="1330"/>
        <v>0</v>
      </c>
      <c r="AI251" s="269">
        <f t="shared" si="1330"/>
        <v>0</v>
      </c>
      <c r="AJ251" s="269">
        <f t="shared" si="1330"/>
        <v>0</v>
      </c>
      <c r="AK251" s="269">
        <f t="shared" si="1330"/>
        <v>0</v>
      </c>
      <c r="AL251" s="269">
        <f t="shared" si="1330"/>
        <v>0</v>
      </c>
      <c r="AM251" s="269">
        <f t="shared" si="1330"/>
        <v>0</v>
      </c>
      <c r="AN251" s="269">
        <f t="shared" si="1330"/>
        <v>0</v>
      </c>
      <c r="AO251" s="269">
        <f t="shared" si="1330"/>
        <v>0</v>
      </c>
      <c r="AP251" s="269">
        <f t="shared" si="1330"/>
        <v>0</v>
      </c>
      <c r="AQ251" s="269">
        <f t="shared" si="1330"/>
        <v>0</v>
      </c>
      <c r="AR251" s="269">
        <f t="shared" si="1330"/>
        <v>0</v>
      </c>
      <c r="AS251" s="269">
        <f t="shared" si="1330"/>
        <v>0</v>
      </c>
      <c r="AT251" s="269">
        <f t="shared" si="1330"/>
        <v>0</v>
      </c>
      <c r="AU251" s="269">
        <f t="shared" si="1330"/>
        <v>0</v>
      </c>
      <c r="AV251" s="269">
        <f t="shared" si="1330"/>
        <v>0</v>
      </c>
      <c r="AW251" s="269">
        <f t="shared" si="1330"/>
        <v>0</v>
      </c>
      <c r="AX251" s="269">
        <f t="shared" si="1330"/>
        <v>0</v>
      </c>
      <c r="AY251" s="269">
        <f t="shared" si="1330"/>
        <v>0</v>
      </c>
      <c r="AZ251" s="269">
        <f t="shared" si="1330"/>
        <v>0</v>
      </c>
      <c r="BA251" s="269">
        <f t="shared" si="1330"/>
        <v>0</v>
      </c>
      <c r="BB251" s="269">
        <f t="shared" si="1330"/>
        <v>0</v>
      </c>
      <c r="BC251" s="269">
        <f t="shared" si="1330"/>
        <v>0</v>
      </c>
      <c r="BD251" s="269">
        <f t="shared" si="1330"/>
        <v>0</v>
      </c>
      <c r="BE251" s="269">
        <f t="shared" si="1330"/>
        <v>0</v>
      </c>
      <c r="BF251" s="269">
        <f t="shared" si="1330"/>
        <v>0</v>
      </c>
      <c r="BG251" s="269">
        <f t="shared" si="1330"/>
        <v>0</v>
      </c>
      <c r="BH251" s="269">
        <f t="shared" si="1330"/>
        <v>0</v>
      </c>
      <c r="BI251" s="269">
        <f t="shared" si="1330"/>
        <v>0</v>
      </c>
      <c r="BJ251" s="269">
        <f t="shared" si="1330"/>
        <v>0</v>
      </c>
      <c r="BK251" s="269">
        <f t="shared" si="1330"/>
        <v>0</v>
      </c>
      <c r="BL251" s="269">
        <f t="shared" si="1330"/>
        <v>0</v>
      </c>
      <c r="BM251" s="269">
        <f t="shared" si="1330"/>
        <v>0</v>
      </c>
      <c r="BN251" s="269">
        <f t="shared" si="1330"/>
        <v>0</v>
      </c>
      <c r="BO251" s="269">
        <f t="shared" si="1330"/>
        <v>0</v>
      </c>
      <c r="BP251" s="269">
        <f t="shared" si="1330"/>
        <v>0</v>
      </c>
      <c r="BQ251" s="269">
        <f t="shared" si="1330"/>
        <v>0</v>
      </c>
      <c r="BR251" s="269">
        <f t="shared" si="1330"/>
        <v>0</v>
      </c>
      <c r="BS251" s="269">
        <f t="shared" si="1330"/>
        <v>0</v>
      </c>
      <c r="BT251" s="269">
        <f t="shared" si="1330"/>
        <v>0</v>
      </c>
      <c r="BU251" s="269">
        <f t="shared" si="1330"/>
        <v>0</v>
      </c>
      <c r="BV251" s="269">
        <f t="shared" si="1330"/>
        <v>0</v>
      </c>
      <c r="BW251" s="269">
        <f t="shared" si="1330"/>
        <v>0</v>
      </c>
      <c r="BX251" s="6"/>
      <c r="BY251" s="6"/>
      <c r="BZ251" s="6"/>
      <c r="CA251" s="6"/>
      <c r="CB251" s="6"/>
      <c r="CC251" s="6"/>
      <c r="CD251" s="6"/>
      <c r="CE251" s="6"/>
      <c r="CF251" s="6"/>
      <c r="CG251" s="6"/>
    </row>
    <row r="252" spans="1:85" ht="15.75" customHeight="1">
      <c r="A252" s="275"/>
      <c r="B252" s="276"/>
      <c r="C252" s="68" t="s">
        <v>322</v>
      </c>
      <c r="D252" s="243" t="s">
        <v>398</v>
      </c>
      <c r="E252" s="57">
        <v>0</v>
      </c>
      <c r="F252" s="57">
        <v>0</v>
      </c>
      <c r="G252" s="58">
        <f t="shared" ref="G252:G253" si="1331">E252-F252</f>
        <v>0</v>
      </c>
      <c r="H252" s="57">
        <v>0</v>
      </c>
      <c r="I252" s="59">
        <f t="shared" si="732"/>
        <v>0</v>
      </c>
      <c r="J252" s="59">
        <f t="shared" si="733"/>
        <v>0</v>
      </c>
      <c r="K252" s="74">
        <v>0</v>
      </c>
      <c r="L252" s="74">
        <v>0</v>
      </c>
      <c r="M252" s="74">
        <v>0</v>
      </c>
      <c r="N252" s="74">
        <v>0</v>
      </c>
      <c r="O252" s="61">
        <f t="shared" ref="O252:Q252" si="1332">AA252+AD252+AG252+AJ252+AM252+AP252+AS252+AV252+AY252+BB252+BE252+BH252</f>
        <v>0</v>
      </c>
      <c r="P252" s="61">
        <f t="shared" si="1332"/>
        <v>0</v>
      </c>
      <c r="Q252" s="61">
        <f t="shared" si="1332"/>
        <v>0</v>
      </c>
      <c r="R252" s="61">
        <f t="shared" ref="R252:T252" si="1333">IF(BK252=0,SUM(AA252+AD252+AG252+AJ252+AM252+AP252+AS252+AV252+AY252+BB252+BE252+BH252),BK252)</f>
        <v>0</v>
      </c>
      <c r="S252" s="61">
        <f t="shared" si="1333"/>
        <v>0</v>
      </c>
      <c r="T252" s="61">
        <f t="shared" si="1333"/>
        <v>0</v>
      </c>
      <c r="U252" s="63">
        <f t="shared" ref="U252:U253" si="1334">K252-O252</f>
        <v>0</v>
      </c>
      <c r="V252" s="63">
        <f t="shared" ref="V252:V253" si="1335">L252-M252-S252</f>
        <v>0</v>
      </c>
      <c r="W252" s="63">
        <f t="shared" ref="W252:W253" si="1336">N252-Q252</f>
        <v>0</v>
      </c>
      <c r="X252" s="64">
        <f t="shared" ref="X252:Y252" si="1337">IF(O252&gt;0,O252/K252,0)</f>
        <v>0</v>
      </c>
      <c r="Y252" s="64">
        <f t="shared" si="1337"/>
        <v>0</v>
      </c>
      <c r="Z252" s="64">
        <f t="shared" si="1014"/>
        <v>0</v>
      </c>
      <c r="AA252" s="65"/>
      <c r="AB252" s="65"/>
      <c r="AC252" s="65"/>
      <c r="AD252" s="65"/>
      <c r="AE252" s="66"/>
      <c r="AF252" s="66"/>
      <c r="AG252" s="66"/>
      <c r="AH252" s="66"/>
      <c r="AI252" s="65"/>
      <c r="AJ252" s="65"/>
      <c r="AK252" s="65"/>
      <c r="AL252" s="65"/>
      <c r="AM252" s="65"/>
      <c r="AN252" s="65"/>
      <c r="AO252" s="65"/>
      <c r="AP252" s="65"/>
      <c r="AQ252" s="65"/>
      <c r="AR252" s="65"/>
      <c r="AS252" s="65"/>
      <c r="AT252" s="65"/>
      <c r="AU252" s="65"/>
      <c r="AV252" s="65"/>
      <c r="AW252" s="65"/>
      <c r="AX252" s="65"/>
      <c r="AY252" s="65"/>
      <c r="AZ252" s="65"/>
      <c r="BA252" s="65"/>
      <c r="BB252" s="65"/>
      <c r="BC252" s="65"/>
      <c r="BD252" s="65"/>
      <c r="BE252" s="65"/>
      <c r="BF252" s="65"/>
      <c r="BG252" s="65"/>
      <c r="BH252" s="237"/>
      <c r="BI252" s="237"/>
      <c r="BJ252" s="237"/>
      <c r="BK252" s="65">
        <v>0</v>
      </c>
      <c r="BL252" s="65">
        <v>0</v>
      </c>
      <c r="BM252" s="65">
        <v>0</v>
      </c>
      <c r="BN252" s="65">
        <f t="shared" ref="BN252:BN253" si="1338">IF(O252-BK252&gt;0,O252-BK252,0)</f>
        <v>0</v>
      </c>
      <c r="BO252" s="67">
        <f t="shared" ref="BO252:BO253" si="1339">IF(Q252-BM252&gt;0,Q252-BM252,0)</f>
        <v>0</v>
      </c>
      <c r="BP252" s="65">
        <f t="shared" ref="BP252:BP253" si="1340">IF(BN252+BO252&gt;0,BN252+BO252,0)</f>
        <v>0</v>
      </c>
      <c r="BQ252" s="65">
        <f t="shared" ref="BQ252:BQ253" si="1341">IF(U252=0,0,U252)</f>
        <v>0</v>
      </c>
      <c r="BR252" s="65">
        <f t="shared" ref="BR252:BR253" si="1342">IF(W252=0,0,W252)</f>
        <v>0</v>
      </c>
      <c r="BS252" s="65">
        <f t="shared" ref="BS252:BS253" si="1343">IF(BQ252+BR252&gt;0,BQ252+BR252,0)</f>
        <v>0</v>
      </c>
      <c r="BT252" s="65">
        <f t="shared" ref="BT252:BT253" si="1344">IF(V252&gt;0,V252,0)</f>
        <v>0</v>
      </c>
      <c r="BU252" s="65">
        <f t="shared" ref="BU252:BU253" si="1345">IF(BP252=0,0,BP252)</f>
        <v>0</v>
      </c>
      <c r="BV252" s="65">
        <f t="shared" ref="BV252:BV253" si="1346">IF(BS252=0,0,BS252)</f>
        <v>0</v>
      </c>
      <c r="BW252" s="65">
        <f t="shared" ref="BW252:BW253" si="1347">IF(BP252+BT252+BV252&gt;0,BP252+BT252+BV252,0)</f>
        <v>0</v>
      </c>
      <c r="BX252" s="6"/>
      <c r="BY252" s="6"/>
      <c r="BZ252" s="6"/>
      <c r="CA252" s="6"/>
      <c r="CB252" s="6"/>
      <c r="CC252" s="6"/>
      <c r="CD252" s="6"/>
      <c r="CE252" s="6"/>
      <c r="CF252" s="6"/>
      <c r="CG252" s="6"/>
    </row>
    <row r="253" spans="1:85" ht="15.75" customHeight="1">
      <c r="A253" s="278"/>
      <c r="B253" s="276"/>
      <c r="C253" s="68" t="s">
        <v>322</v>
      </c>
      <c r="D253" s="243" t="s">
        <v>399</v>
      </c>
      <c r="E253" s="57">
        <v>0</v>
      </c>
      <c r="F253" s="57">
        <v>0</v>
      </c>
      <c r="G253" s="58">
        <f t="shared" si="1331"/>
        <v>0</v>
      </c>
      <c r="H253" s="56">
        <v>250000</v>
      </c>
      <c r="I253" s="59">
        <f t="shared" si="732"/>
        <v>0</v>
      </c>
      <c r="J253" s="59">
        <f t="shared" si="733"/>
        <v>0</v>
      </c>
      <c r="K253" s="74">
        <v>0</v>
      </c>
      <c r="L253" s="74">
        <v>0</v>
      </c>
      <c r="M253" s="74">
        <v>0</v>
      </c>
      <c r="N253" s="74">
        <v>0</v>
      </c>
      <c r="O253" s="61">
        <f t="shared" ref="O253:Q253" si="1348">AA253+AD253+AG253+AJ253+AM253+AP253+AS253+AV253+AY253+BB253+BE253+BH253</f>
        <v>0</v>
      </c>
      <c r="P253" s="61">
        <f t="shared" si="1348"/>
        <v>0</v>
      </c>
      <c r="Q253" s="61">
        <f t="shared" si="1348"/>
        <v>0</v>
      </c>
      <c r="R253" s="61">
        <f t="shared" ref="R253:T253" si="1349">IF(BK253=0,SUM(AA253+AD253+AG253+AJ253+AM253+AP253+AS253+AV253+AY253+BB253+BE253+BH253),BK253)</f>
        <v>0</v>
      </c>
      <c r="S253" s="61">
        <f t="shared" si="1349"/>
        <v>0</v>
      </c>
      <c r="T253" s="61">
        <f t="shared" si="1349"/>
        <v>0</v>
      </c>
      <c r="U253" s="63">
        <f t="shared" si="1334"/>
        <v>0</v>
      </c>
      <c r="V253" s="63">
        <f t="shared" si="1335"/>
        <v>0</v>
      </c>
      <c r="W253" s="63">
        <f t="shared" si="1336"/>
        <v>0</v>
      </c>
      <c r="X253" s="64">
        <f t="shared" ref="X253:Y253" si="1350">IF(O253&gt;0,O253/K253,0)</f>
        <v>0</v>
      </c>
      <c r="Y253" s="64">
        <f t="shared" si="1350"/>
        <v>0</v>
      </c>
      <c r="Z253" s="64">
        <f t="shared" si="1014"/>
        <v>0</v>
      </c>
      <c r="AA253" s="65"/>
      <c r="AB253" s="65"/>
      <c r="AC253" s="65"/>
      <c r="AD253" s="65"/>
      <c r="AE253" s="66"/>
      <c r="AF253" s="66"/>
      <c r="AG253" s="66"/>
      <c r="AH253" s="66"/>
      <c r="AI253" s="65"/>
      <c r="AJ253" s="65"/>
      <c r="AK253" s="65"/>
      <c r="AL253" s="65"/>
      <c r="AM253" s="65"/>
      <c r="AN253" s="65"/>
      <c r="AO253" s="65"/>
      <c r="AP253" s="65"/>
      <c r="AQ253" s="65"/>
      <c r="AR253" s="65"/>
      <c r="AS253" s="65"/>
      <c r="AT253" s="65"/>
      <c r="AU253" s="65"/>
      <c r="AV253" s="65"/>
      <c r="AW253" s="65"/>
      <c r="AX253" s="65"/>
      <c r="AY253" s="65"/>
      <c r="AZ253" s="65"/>
      <c r="BA253" s="65"/>
      <c r="BB253" s="65"/>
      <c r="BC253" s="65"/>
      <c r="BD253" s="65"/>
      <c r="BE253" s="65"/>
      <c r="BF253" s="65"/>
      <c r="BG253" s="65"/>
      <c r="BH253" s="237"/>
      <c r="BI253" s="237"/>
      <c r="BJ253" s="237"/>
      <c r="BK253" s="65">
        <v>0</v>
      </c>
      <c r="BL253" s="65">
        <v>0</v>
      </c>
      <c r="BM253" s="65">
        <v>0</v>
      </c>
      <c r="BN253" s="65">
        <f t="shared" si="1338"/>
        <v>0</v>
      </c>
      <c r="BO253" s="67">
        <f t="shared" si="1339"/>
        <v>0</v>
      </c>
      <c r="BP253" s="65">
        <f t="shared" si="1340"/>
        <v>0</v>
      </c>
      <c r="BQ253" s="65">
        <f t="shared" si="1341"/>
        <v>0</v>
      </c>
      <c r="BR253" s="65">
        <f t="shared" si="1342"/>
        <v>0</v>
      </c>
      <c r="BS253" s="65">
        <f t="shared" si="1343"/>
        <v>0</v>
      </c>
      <c r="BT253" s="65">
        <f t="shared" si="1344"/>
        <v>0</v>
      </c>
      <c r="BU253" s="65">
        <f t="shared" si="1345"/>
        <v>0</v>
      </c>
      <c r="BV253" s="65">
        <f t="shared" si="1346"/>
        <v>0</v>
      </c>
      <c r="BW253" s="65">
        <f t="shared" si="1347"/>
        <v>0</v>
      </c>
      <c r="BX253" s="6"/>
      <c r="BY253" s="6"/>
      <c r="BZ253" s="6"/>
      <c r="CA253" s="6"/>
      <c r="CB253" s="6"/>
      <c r="CC253" s="6"/>
      <c r="CD253" s="6"/>
      <c r="CE253" s="6"/>
      <c r="CF253" s="6"/>
      <c r="CG253" s="6"/>
    </row>
    <row r="254" spans="1:85" ht="15.75">
      <c r="A254" s="75"/>
      <c r="B254" s="76"/>
      <c r="C254" s="77"/>
      <c r="D254" s="78" t="s">
        <v>400</v>
      </c>
      <c r="E254" s="45">
        <f t="shared" ref="E254:H254" si="1351">SUM(E255:E256)</f>
        <v>0</v>
      </c>
      <c r="F254" s="45">
        <f t="shared" si="1351"/>
        <v>0</v>
      </c>
      <c r="G254" s="45">
        <f t="shared" si="1351"/>
        <v>0</v>
      </c>
      <c r="H254" s="45">
        <f t="shared" si="1351"/>
        <v>0</v>
      </c>
      <c r="I254" s="47">
        <f t="shared" si="732"/>
        <v>0</v>
      </c>
      <c r="J254" s="47">
        <f t="shared" si="733"/>
        <v>0</v>
      </c>
      <c r="K254" s="45">
        <f t="shared" ref="K254:W254" si="1352">SUM(K255:K256)</f>
        <v>0</v>
      </c>
      <c r="L254" s="45">
        <f t="shared" si="1352"/>
        <v>27555</v>
      </c>
      <c r="M254" s="45">
        <f t="shared" si="1352"/>
        <v>0</v>
      </c>
      <c r="N254" s="45">
        <f t="shared" si="1352"/>
        <v>0</v>
      </c>
      <c r="O254" s="45">
        <f t="shared" si="1352"/>
        <v>0</v>
      </c>
      <c r="P254" s="45">
        <f t="shared" si="1352"/>
        <v>0</v>
      </c>
      <c r="Q254" s="45">
        <f t="shared" si="1352"/>
        <v>0</v>
      </c>
      <c r="R254" s="45">
        <f t="shared" si="1352"/>
        <v>0</v>
      </c>
      <c r="S254" s="45">
        <f t="shared" si="1352"/>
        <v>0</v>
      </c>
      <c r="T254" s="45">
        <f t="shared" si="1352"/>
        <v>0</v>
      </c>
      <c r="U254" s="45">
        <f t="shared" si="1352"/>
        <v>0</v>
      </c>
      <c r="V254" s="45">
        <f t="shared" si="1352"/>
        <v>27555</v>
      </c>
      <c r="W254" s="45">
        <f t="shared" si="1352"/>
        <v>0</v>
      </c>
      <c r="X254" s="50">
        <f t="shared" ref="X254:Y254" si="1353">IF(O254&gt;0,O254/K254,0)</f>
        <v>0</v>
      </c>
      <c r="Y254" s="50">
        <f t="shared" si="1353"/>
        <v>0</v>
      </c>
      <c r="Z254" s="50">
        <f t="shared" si="1014"/>
        <v>0</v>
      </c>
      <c r="AA254" s="45">
        <f t="shared" ref="AA254:BW254" si="1354">SUM(AA255:AA256)</f>
        <v>0</v>
      </c>
      <c r="AB254" s="45">
        <f t="shared" si="1354"/>
        <v>0</v>
      </c>
      <c r="AC254" s="45">
        <f t="shared" si="1354"/>
        <v>0</v>
      </c>
      <c r="AD254" s="45">
        <f t="shared" si="1354"/>
        <v>0</v>
      </c>
      <c r="AE254" s="45">
        <f t="shared" si="1354"/>
        <v>0</v>
      </c>
      <c r="AF254" s="45">
        <f t="shared" si="1354"/>
        <v>0</v>
      </c>
      <c r="AG254" s="45">
        <f t="shared" si="1354"/>
        <v>0</v>
      </c>
      <c r="AH254" s="45">
        <f t="shared" si="1354"/>
        <v>0</v>
      </c>
      <c r="AI254" s="45">
        <f t="shared" si="1354"/>
        <v>0</v>
      </c>
      <c r="AJ254" s="45">
        <f t="shared" si="1354"/>
        <v>0</v>
      </c>
      <c r="AK254" s="45">
        <f t="shared" si="1354"/>
        <v>0</v>
      </c>
      <c r="AL254" s="45">
        <f t="shared" si="1354"/>
        <v>0</v>
      </c>
      <c r="AM254" s="45">
        <f t="shared" si="1354"/>
        <v>0</v>
      </c>
      <c r="AN254" s="45">
        <f t="shared" si="1354"/>
        <v>0</v>
      </c>
      <c r="AO254" s="45">
        <f t="shared" si="1354"/>
        <v>0</v>
      </c>
      <c r="AP254" s="45">
        <f t="shared" si="1354"/>
        <v>0</v>
      </c>
      <c r="AQ254" s="45">
        <f t="shared" si="1354"/>
        <v>0</v>
      </c>
      <c r="AR254" s="45">
        <f t="shared" si="1354"/>
        <v>0</v>
      </c>
      <c r="AS254" s="45">
        <f t="shared" si="1354"/>
        <v>0</v>
      </c>
      <c r="AT254" s="45">
        <f t="shared" si="1354"/>
        <v>0</v>
      </c>
      <c r="AU254" s="45">
        <f t="shared" si="1354"/>
        <v>0</v>
      </c>
      <c r="AV254" s="45">
        <f t="shared" si="1354"/>
        <v>0</v>
      </c>
      <c r="AW254" s="45">
        <f t="shared" si="1354"/>
        <v>0</v>
      </c>
      <c r="AX254" s="45">
        <f t="shared" si="1354"/>
        <v>0</v>
      </c>
      <c r="AY254" s="45">
        <f t="shared" si="1354"/>
        <v>0</v>
      </c>
      <c r="AZ254" s="45">
        <f t="shared" si="1354"/>
        <v>0</v>
      </c>
      <c r="BA254" s="45">
        <f t="shared" si="1354"/>
        <v>0</v>
      </c>
      <c r="BB254" s="45">
        <f t="shared" si="1354"/>
        <v>0</v>
      </c>
      <c r="BC254" s="45">
        <f t="shared" si="1354"/>
        <v>0</v>
      </c>
      <c r="BD254" s="45">
        <f t="shared" si="1354"/>
        <v>0</v>
      </c>
      <c r="BE254" s="45">
        <f t="shared" si="1354"/>
        <v>0</v>
      </c>
      <c r="BF254" s="45">
        <f t="shared" si="1354"/>
        <v>0</v>
      </c>
      <c r="BG254" s="45">
        <f t="shared" si="1354"/>
        <v>0</v>
      </c>
      <c r="BH254" s="45">
        <f t="shared" si="1354"/>
        <v>0</v>
      </c>
      <c r="BI254" s="45">
        <f t="shared" si="1354"/>
        <v>0</v>
      </c>
      <c r="BJ254" s="45">
        <f t="shared" si="1354"/>
        <v>0</v>
      </c>
      <c r="BK254" s="45">
        <f t="shared" si="1354"/>
        <v>0</v>
      </c>
      <c r="BL254" s="45">
        <f t="shared" si="1354"/>
        <v>0</v>
      </c>
      <c r="BM254" s="45">
        <f t="shared" si="1354"/>
        <v>0</v>
      </c>
      <c r="BN254" s="45">
        <f t="shared" si="1354"/>
        <v>0</v>
      </c>
      <c r="BO254" s="45">
        <f t="shared" si="1354"/>
        <v>0</v>
      </c>
      <c r="BP254" s="45">
        <f t="shared" si="1354"/>
        <v>0</v>
      </c>
      <c r="BQ254" s="45">
        <f t="shared" si="1354"/>
        <v>0</v>
      </c>
      <c r="BR254" s="45">
        <f t="shared" si="1354"/>
        <v>0</v>
      </c>
      <c r="BS254" s="45">
        <f t="shared" si="1354"/>
        <v>0</v>
      </c>
      <c r="BT254" s="45">
        <f t="shared" si="1354"/>
        <v>27555</v>
      </c>
      <c r="BU254" s="45">
        <f t="shared" si="1354"/>
        <v>0</v>
      </c>
      <c r="BV254" s="45">
        <f t="shared" si="1354"/>
        <v>0</v>
      </c>
      <c r="BW254" s="45">
        <f t="shared" si="1354"/>
        <v>27555</v>
      </c>
      <c r="BX254" s="51"/>
      <c r="BY254" s="51"/>
      <c r="BZ254" s="51"/>
      <c r="CA254" s="51"/>
      <c r="CB254" s="51"/>
      <c r="CC254" s="51"/>
      <c r="CD254" s="51"/>
      <c r="CE254" s="51"/>
      <c r="CF254" s="51"/>
      <c r="CG254" s="51"/>
    </row>
    <row r="255" spans="1:85" ht="15.75" customHeight="1">
      <c r="A255" s="121"/>
      <c r="B255" s="121" t="s">
        <v>401</v>
      </c>
      <c r="C255" s="68" t="s">
        <v>318</v>
      </c>
      <c r="D255" s="243" t="s">
        <v>402</v>
      </c>
      <c r="E255" s="57">
        <v>0</v>
      </c>
      <c r="F255" s="57">
        <v>0</v>
      </c>
      <c r="G255" s="58">
        <f t="shared" ref="G255:G256" si="1355">E255-F255</f>
        <v>0</v>
      </c>
      <c r="H255" s="57">
        <v>0</v>
      </c>
      <c r="I255" s="59">
        <f t="shared" si="732"/>
        <v>0</v>
      </c>
      <c r="J255" s="59">
        <f t="shared" si="733"/>
        <v>0</v>
      </c>
      <c r="K255" s="74">
        <v>0</v>
      </c>
      <c r="L255" s="279">
        <v>1995</v>
      </c>
      <c r="M255" s="74">
        <v>0</v>
      </c>
      <c r="N255" s="74">
        <v>0</v>
      </c>
      <c r="O255" s="61">
        <f t="shared" ref="O255:Q255" si="1356">AA255+AD255+AG255+AJ255+AM255+AP255+AS255+AV255+AY255+BB255+BE255+BH255</f>
        <v>0</v>
      </c>
      <c r="P255" s="61">
        <f t="shared" si="1356"/>
        <v>0</v>
      </c>
      <c r="Q255" s="61">
        <f t="shared" si="1356"/>
        <v>0</v>
      </c>
      <c r="R255" s="61">
        <f t="shared" ref="R255:T255" si="1357">IF(BK255=0,SUM(AA255+AD255+AG255+AJ255+AM255+AP255+AS255+AV255+AY255+BB255+BE255+BH255),BK255)</f>
        <v>0</v>
      </c>
      <c r="S255" s="61">
        <f t="shared" si="1357"/>
        <v>0</v>
      </c>
      <c r="T255" s="61">
        <f t="shared" si="1357"/>
        <v>0</v>
      </c>
      <c r="U255" s="63">
        <f t="shared" ref="U255:U256" si="1358">K255-O255</f>
        <v>0</v>
      </c>
      <c r="V255" s="170">
        <f t="shared" ref="V255:V256" si="1359">L255-M255-S255</f>
        <v>1995</v>
      </c>
      <c r="W255" s="208">
        <f t="shared" ref="W255:W256" si="1360">N255-Q255</f>
        <v>0</v>
      </c>
      <c r="X255" s="64">
        <f t="shared" ref="X255:Y255" si="1361">IF(O255&gt;0,O255/K255,0)</f>
        <v>0</v>
      </c>
      <c r="Y255" s="64">
        <f t="shared" si="1361"/>
        <v>0</v>
      </c>
      <c r="Z255" s="64">
        <f t="shared" si="1014"/>
        <v>0</v>
      </c>
      <c r="AA255" s="65"/>
      <c r="AB255" s="65"/>
      <c r="AC255" s="65"/>
      <c r="AD255" s="65"/>
      <c r="AE255" s="66"/>
      <c r="AF255" s="66"/>
      <c r="AG255" s="66"/>
      <c r="AH255" s="66"/>
      <c r="AI255" s="65"/>
      <c r="AJ255" s="65"/>
      <c r="AK255" s="65"/>
      <c r="AL255" s="65"/>
      <c r="AM255" s="65"/>
      <c r="AN255" s="65"/>
      <c r="AO255" s="65"/>
      <c r="AP255" s="65"/>
      <c r="AQ255" s="65"/>
      <c r="AR255" s="65"/>
      <c r="AS255" s="65"/>
      <c r="AT255" s="65"/>
      <c r="AU255" s="65"/>
      <c r="AV255" s="65"/>
      <c r="AW255" s="65"/>
      <c r="AX255" s="65"/>
      <c r="AY255" s="65"/>
      <c r="AZ255" s="65"/>
      <c r="BA255" s="65"/>
      <c r="BB255" s="65"/>
      <c r="BC255" s="65"/>
      <c r="BD255" s="65"/>
      <c r="BE255" s="65"/>
      <c r="BF255" s="65"/>
      <c r="BG255" s="65"/>
      <c r="BH255" s="237"/>
      <c r="BI255" s="237"/>
      <c r="BJ255" s="237"/>
      <c r="BK255" s="65">
        <v>0</v>
      </c>
      <c r="BL255" s="65">
        <v>0</v>
      </c>
      <c r="BM255" s="65">
        <v>0</v>
      </c>
      <c r="BN255" s="65">
        <f t="shared" ref="BN255:BN256" si="1362">IF(O255-BK255&gt;0,O255-BK255,0)</f>
        <v>0</v>
      </c>
      <c r="BO255" s="67">
        <f t="shared" ref="BO255:BO256" si="1363">IF(Q255-BM255&gt;0,Q255-BM255,0)</f>
        <v>0</v>
      </c>
      <c r="BP255" s="65">
        <f t="shared" ref="BP255:BP256" si="1364">IF(BN255+BO255&gt;0,BN255+BO255,0)</f>
        <v>0</v>
      </c>
      <c r="BQ255" s="65">
        <f t="shared" ref="BQ255:BQ256" si="1365">IF(U255=0,0,U255)</f>
        <v>0</v>
      </c>
      <c r="BR255" s="65">
        <f t="shared" ref="BR255:BR256" si="1366">IF(W255=0,0,W255)</f>
        <v>0</v>
      </c>
      <c r="BS255" s="65">
        <f t="shared" ref="BS255:BS256" si="1367">IF(BQ255+BR255&gt;0,BQ255+BR255,0)</f>
        <v>0</v>
      </c>
      <c r="BT255" s="65">
        <f t="shared" ref="BT255:BT256" si="1368">IF(V255&gt;0,V255,0)</f>
        <v>1995</v>
      </c>
      <c r="BU255" s="65">
        <f t="shared" ref="BU255:BU256" si="1369">IF(BP255=0,0,BP255)</f>
        <v>0</v>
      </c>
      <c r="BV255" s="65">
        <f t="shared" ref="BV255:BV256" si="1370">IF(BS255=0,0,BS255)</f>
        <v>0</v>
      </c>
      <c r="BW255" s="65">
        <f t="shared" ref="BW255:BW256" si="1371">IF(BP255+BT255+BV255&gt;0,BP255+BT255+BV255,0)</f>
        <v>1995</v>
      </c>
      <c r="BX255" s="6"/>
      <c r="BY255" s="6"/>
      <c r="BZ255" s="6"/>
      <c r="CA255" s="6"/>
      <c r="CB255" s="6"/>
      <c r="CC255" s="6"/>
      <c r="CD255" s="6"/>
      <c r="CE255" s="6"/>
      <c r="CF255" s="6"/>
      <c r="CG255" s="6"/>
    </row>
    <row r="256" spans="1:85" ht="15.75" customHeight="1">
      <c r="A256" s="121"/>
      <c r="B256" s="121" t="s">
        <v>403</v>
      </c>
      <c r="C256" s="68" t="s">
        <v>265</v>
      </c>
      <c r="D256" s="243" t="s">
        <v>404</v>
      </c>
      <c r="E256" s="57">
        <v>0</v>
      </c>
      <c r="F256" s="57">
        <v>0</v>
      </c>
      <c r="G256" s="58">
        <f t="shared" si="1355"/>
        <v>0</v>
      </c>
      <c r="H256" s="57">
        <v>0</v>
      </c>
      <c r="I256" s="59">
        <f t="shared" si="732"/>
        <v>0</v>
      </c>
      <c r="J256" s="59">
        <f t="shared" si="733"/>
        <v>0</v>
      </c>
      <c r="K256" s="74">
        <v>0</v>
      </c>
      <c r="L256" s="279">
        <v>25560</v>
      </c>
      <c r="M256" s="74">
        <v>0</v>
      </c>
      <c r="N256" s="74">
        <v>0</v>
      </c>
      <c r="O256" s="61">
        <f t="shared" ref="O256:Q256" si="1372">AA256+AD256+AG256+AJ256+AM256+AP256+AS256+AV256+AY256+BB256+BE256+BH256</f>
        <v>0</v>
      </c>
      <c r="P256" s="61">
        <f t="shared" si="1372"/>
        <v>0</v>
      </c>
      <c r="Q256" s="61">
        <f t="shared" si="1372"/>
        <v>0</v>
      </c>
      <c r="R256" s="61">
        <f t="shared" ref="R256:T256" si="1373">IF(BK256=0,SUM(AA256+AD256+AG256+AJ256+AM256+AP256+AS256+AV256+AY256+BB256+BE256+BH256),BK256)</f>
        <v>0</v>
      </c>
      <c r="S256" s="61">
        <f t="shared" si="1373"/>
        <v>0</v>
      </c>
      <c r="T256" s="61">
        <f t="shared" si="1373"/>
        <v>0</v>
      </c>
      <c r="U256" s="63">
        <f t="shared" si="1358"/>
        <v>0</v>
      </c>
      <c r="V256" s="170">
        <f t="shared" si="1359"/>
        <v>25560</v>
      </c>
      <c r="W256" s="208">
        <f t="shared" si="1360"/>
        <v>0</v>
      </c>
      <c r="X256" s="64">
        <f t="shared" ref="X256:Y256" si="1374">IF(O256&gt;0,O256/K256,0)</f>
        <v>0</v>
      </c>
      <c r="Y256" s="64">
        <f t="shared" si="1374"/>
        <v>0</v>
      </c>
      <c r="Z256" s="64">
        <f t="shared" si="1014"/>
        <v>0</v>
      </c>
      <c r="AA256" s="65"/>
      <c r="AB256" s="65"/>
      <c r="AC256" s="65"/>
      <c r="AD256" s="65"/>
      <c r="AE256" s="66"/>
      <c r="AF256" s="66"/>
      <c r="AG256" s="66"/>
      <c r="AH256" s="66"/>
      <c r="AI256" s="65"/>
      <c r="AJ256" s="65"/>
      <c r="AK256" s="65"/>
      <c r="AL256" s="65"/>
      <c r="AM256" s="65"/>
      <c r="AN256" s="65"/>
      <c r="AO256" s="65"/>
      <c r="AP256" s="65"/>
      <c r="AQ256" s="65"/>
      <c r="AR256" s="65"/>
      <c r="AS256" s="65"/>
      <c r="AT256" s="65"/>
      <c r="AU256" s="65"/>
      <c r="AV256" s="65"/>
      <c r="AW256" s="65"/>
      <c r="AX256" s="65"/>
      <c r="AY256" s="65"/>
      <c r="AZ256" s="65"/>
      <c r="BA256" s="65"/>
      <c r="BB256" s="65"/>
      <c r="BC256" s="65"/>
      <c r="BD256" s="65"/>
      <c r="BE256" s="65"/>
      <c r="BF256" s="65"/>
      <c r="BG256" s="65"/>
      <c r="BH256" s="237"/>
      <c r="BI256" s="237"/>
      <c r="BJ256" s="237"/>
      <c r="BK256" s="65">
        <v>0</v>
      </c>
      <c r="BL256" s="65">
        <v>0</v>
      </c>
      <c r="BM256" s="65">
        <v>0</v>
      </c>
      <c r="BN256" s="65">
        <f t="shared" si="1362"/>
        <v>0</v>
      </c>
      <c r="BO256" s="67">
        <f t="shared" si="1363"/>
        <v>0</v>
      </c>
      <c r="BP256" s="65">
        <f t="shared" si="1364"/>
        <v>0</v>
      </c>
      <c r="BQ256" s="65">
        <f t="shared" si="1365"/>
        <v>0</v>
      </c>
      <c r="BR256" s="65">
        <f t="shared" si="1366"/>
        <v>0</v>
      </c>
      <c r="BS256" s="65">
        <f t="shared" si="1367"/>
        <v>0</v>
      </c>
      <c r="BT256" s="65">
        <f t="shared" si="1368"/>
        <v>25560</v>
      </c>
      <c r="BU256" s="65">
        <f t="shared" si="1369"/>
        <v>0</v>
      </c>
      <c r="BV256" s="65">
        <f t="shared" si="1370"/>
        <v>0</v>
      </c>
      <c r="BW256" s="65">
        <f t="shared" si="1371"/>
        <v>25560</v>
      </c>
      <c r="BX256" s="6"/>
      <c r="BY256" s="6"/>
      <c r="BZ256" s="6"/>
      <c r="CA256" s="6"/>
      <c r="CB256" s="6"/>
      <c r="CC256" s="6"/>
      <c r="CD256" s="6"/>
      <c r="CE256" s="6"/>
      <c r="CF256" s="6"/>
      <c r="CG256" s="6"/>
    </row>
    <row r="257" spans="1:85" ht="15.75">
      <c r="A257" s="75"/>
      <c r="B257" s="76"/>
      <c r="C257" s="77"/>
      <c r="D257" s="78" t="s">
        <v>405</v>
      </c>
      <c r="E257" s="45">
        <f t="shared" ref="E257:H257" si="1375">SUM(E258)</f>
        <v>0</v>
      </c>
      <c r="F257" s="45">
        <f t="shared" si="1375"/>
        <v>0</v>
      </c>
      <c r="G257" s="45">
        <f t="shared" si="1375"/>
        <v>0</v>
      </c>
      <c r="H257" s="45">
        <f t="shared" si="1375"/>
        <v>0</v>
      </c>
      <c r="I257" s="47">
        <f t="shared" si="732"/>
        <v>0</v>
      </c>
      <c r="J257" s="47">
        <f t="shared" si="733"/>
        <v>0</v>
      </c>
      <c r="K257" s="45">
        <f t="shared" ref="K257:W257" si="1376">SUM(K258)</f>
        <v>0</v>
      </c>
      <c r="L257" s="45">
        <f t="shared" si="1376"/>
        <v>0</v>
      </c>
      <c r="M257" s="45">
        <f t="shared" si="1376"/>
        <v>0</v>
      </c>
      <c r="N257" s="45">
        <f t="shared" si="1376"/>
        <v>0</v>
      </c>
      <c r="O257" s="45">
        <f t="shared" si="1376"/>
        <v>0</v>
      </c>
      <c r="P257" s="45">
        <f t="shared" si="1376"/>
        <v>0</v>
      </c>
      <c r="Q257" s="45">
        <f t="shared" si="1376"/>
        <v>0</v>
      </c>
      <c r="R257" s="45">
        <f t="shared" si="1376"/>
        <v>0</v>
      </c>
      <c r="S257" s="45">
        <f t="shared" si="1376"/>
        <v>0</v>
      </c>
      <c r="T257" s="45">
        <f t="shared" si="1376"/>
        <v>0</v>
      </c>
      <c r="U257" s="45">
        <f t="shared" si="1376"/>
        <v>0</v>
      </c>
      <c r="V257" s="45">
        <f t="shared" si="1376"/>
        <v>0</v>
      </c>
      <c r="W257" s="45">
        <f t="shared" si="1376"/>
        <v>0</v>
      </c>
      <c r="X257" s="50">
        <f t="shared" ref="X257:Y257" si="1377">IF(O257&gt;0,O257/K257,0)</f>
        <v>0</v>
      </c>
      <c r="Y257" s="50">
        <f t="shared" si="1377"/>
        <v>0</v>
      </c>
      <c r="Z257" s="50">
        <f t="shared" si="1014"/>
        <v>0</v>
      </c>
      <c r="AA257" s="45">
        <f t="shared" ref="AA257:BW257" si="1378">SUM(AA258)</f>
        <v>0</v>
      </c>
      <c r="AB257" s="45">
        <f t="shared" si="1378"/>
        <v>0</v>
      </c>
      <c r="AC257" s="45">
        <f t="shared" si="1378"/>
        <v>0</v>
      </c>
      <c r="AD257" s="45">
        <f t="shared" si="1378"/>
        <v>0</v>
      </c>
      <c r="AE257" s="45">
        <f t="shared" si="1378"/>
        <v>0</v>
      </c>
      <c r="AF257" s="45">
        <f t="shared" si="1378"/>
        <v>0</v>
      </c>
      <c r="AG257" s="45">
        <f t="shared" si="1378"/>
        <v>0</v>
      </c>
      <c r="AH257" s="45">
        <f t="shared" si="1378"/>
        <v>0</v>
      </c>
      <c r="AI257" s="45">
        <f t="shared" si="1378"/>
        <v>0</v>
      </c>
      <c r="AJ257" s="45">
        <f t="shared" si="1378"/>
        <v>0</v>
      </c>
      <c r="AK257" s="45">
        <f t="shared" si="1378"/>
        <v>0</v>
      </c>
      <c r="AL257" s="45">
        <f t="shared" si="1378"/>
        <v>0</v>
      </c>
      <c r="AM257" s="45">
        <f t="shared" si="1378"/>
        <v>0</v>
      </c>
      <c r="AN257" s="45">
        <f t="shared" si="1378"/>
        <v>0</v>
      </c>
      <c r="AO257" s="45">
        <f t="shared" si="1378"/>
        <v>0</v>
      </c>
      <c r="AP257" s="45">
        <f t="shared" si="1378"/>
        <v>0</v>
      </c>
      <c r="AQ257" s="45">
        <f t="shared" si="1378"/>
        <v>0</v>
      </c>
      <c r="AR257" s="45">
        <f t="shared" si="1378"/>
        <v>0</v>
      </c>
      <c r="AS257" s="45">
        <f t="shared" si="1378"/>
        <v>0</v>
      </c>
      <c r="AT257" s="45">
        <f t="shared" si="1378"/>
        <v>0</v>
      </c>
      <c r="AU257" s="45">
        <f t="shared" si="1378"/>
        <v>0</v>
      </c>
      <c r="AV257" s="45">
        <f t="shared" si="1378"/>
        <v>0</v>
      </c>
      <c r="AW257" s="45">
        <f t="shared" si="1378"/>
        <v>0</v>
      </c>
      <c r="AX257" s="45">
        <f t="shared" si="1378"/>
        <v>0</v>
      </c>
      <c r="AY257" s="45">
        <f t="shared" si="1378"/>
        <v>0</v>
      </c>
      <c r="AZ257" s="45">
        <f t="shared" si="1378"/>
        <v>0</v>
      </c>
      <c r="BA257" s="45">
        <f t="shared" si="1378"/>
        <v>0</v>
      </c>
      <c r="BB257" s="45">
        <f t="shared" si="1378"/>
        <v>0</v>
      </c>
      <c r="BC257" s="45">
        <f t="shared" si="1378"/>
        <v>0</v>
      </c>
      <c r="BD257" s="45">
        <f t="shared" si="1378"/>
        <v>0</v>
      </c>
      <c r="BE257" s="45">
        <f t="shared" si="1378"/>
        <v>0</v>
      </c>
      <c r="BF257" s="45">
        <f t="shared" si="1378"/>
        <v>0</v>
      </c>
      <c r="BG257" s="45">
        <f t="shared" si="1378"/>
        <v>0</v>
      </c>
      <c r="BH257" s="45">
        <f t="shared" si="1378"/>
        <v>0</v>
      </c>
      <c r="BI257" s="45">
        <f t="shared" si="1378"/>
        <v>0</v>
      </c>
      <c r="BJ257" s="45">
        <f t="shared" si="1378"/>
        <v>0</v>
      </c>
      <c r="BK257" s="45">
        <f t="shared" si="1378"/>
        <v>0</v>
      </c>
      <c r="BL257" s="45">
        <f t="shared" si="1378"/>
        <v>0</v>
      </c>
      <c r="BM257" s="45">
        <f t="shared" si="1378"/>
        <v>0</v>
      </c>
      <c r="BN257" s="45">
        <f t="shared" si="1378"/>
        <v>0</v>
      </c>
      <c r="BO257" s="45">
        <f t="shared" si="1378"/>
        <v>0</v>
      </c>
      <c r="BP257" s="45">
        <f t="shared" si="1378"/>
        <v>0</v>
      </c>
      <c r="BQ257" s="45">
        <f t="shared" si="1378"/>
        <v>0</v>
      </c>
      <c r="BR257" s="45">
        <f t="shared" si="1378"/>
        <v>0</v>
      </c>
      <c r="BS257" s="45">
        <f t="shared" si="1378"/>
        <v>0</v>
      </c>
      <c r="BT257" s="45">
        <f t="shared" si="1378"/>
        <v>0</v>
      </c>
      <c r="BU257" s="45">
        <f t="shared" si="1378"/>
        <v>0</v>
      </c>
      <c r="BV257" s="45">
        <f t="shared" si="1378"/>
        <v>0</v>
      </c>
      <c r="BW257" s="45">
        <f t="shared" si="1378"/>
        <v>0</v>
      </c>
      <c r="BX257" s="51"/>
      <c r="BY257" s="51"/>
      <c r="BZ257" s="51"/>
      <c r="CA257" s="51"/>
      <c r="CB257" s="51"/>
      <c r="CC257" s="51"/>
      <c r="CD257" s="51"/>
      <c r="CE257" s="51"/>
      <c r="CF257" s="51"/>
      <c r="CG257" s="51"/>
    </row>
    <row r="258" spans="1:85" ht="15.75" customHeight="1">
      <c r="A258" s="206"/>
      <c r="B258" s="246"/>
      <c r="C258" s="68" t="s">
        <v>325</v>
      </c>
      <c r="D258" s="243" t="s">
        <v>406</v>
      </c>
      <c r="E258" s="57">
        <v>0</v>
      </c>
      <c r="F258" s="57">
        <v>0</v>
      </c>
      <c r="G258" s="58">
        <f>E258-F258</f>
        <v>0</v>
      </c>
      <c r="H258" s="57">
        <v>0</v>
      </c>
      <c r="I258" s="59">
        <f t="shared" si="732"/>
        <v>0</v>
      </c>
      <c r="J258" s="59">
        <f t="shared" si="733"/>
        <v>0</v>
      </c>
      <c r="K258" s="74">
        <v>0</v>
      </c>
      <c r="L258" s="74">
        <v>0</v>
      </c>
      <c r="M258" s="74">
        <v>0</v>
      </c>
      <c r="N258" s="74">
        <v>0</v>
      </c>
      <c r="O258" s="61">
        <f t="shared" ref="O258:Q258" si="1379">AA258+AD258+AG258+AJ258+AM258+AP258+AS258+AV258+AY258+BB258+BE258+BH258</f>
        <v>0</v>
      </c>
      <c r="P258" s="61">
        <f t="shared" si="1379"/>
        <v>0</v>
      </c>
      <c r="Q258" s="61">
        <f t="shared" si="1379"/>
        <v>0</v>
      </c>
      <c r="R258" s="61">
        <f t="shared" ref="R258:T258" si="1380">IF(BK258=0,SUM(AA258+AD258+AG258+AJ258+AM258+AP258+AS258+AV258+AY258+BB258+BE258+BH258),BK258)</f>
        <v>0</v>
      </c>
      <c r="S258" s="61">
        <f t="shared" si="1380"/>
        <v>0</v>
      </c>
      <c r="T258" s="61">
        <f t="shared" si="1380"/>
        <v>0</v>
      </c>
      <c r="U258" s="63">
        <f>K258-O258</f>
        <v>0</v>
      </c>
      <c r="V258" s="63">
        <f>L258-M258-S258</f>
        <v>0</v>
      </c>
      <c r="W258" s="63">
        <f>N258-Q258</f>
        <v>0</v>
      </c>
      <c r="X258" s="64">
        <f t="shared" ref="X258:Y258" si="1381">IF(O258&gt;0,O258/K258,0)</f>
        <v>0</v>
      </c>
      <c r="Y258" s="64">
        <f t="shared" si="1381"/>
        <v>0</v>
      </c>
      <c r="Z258" s="64">
        <f t="shared" si="1014"/>
        <v>0</v>
      </c>
      <c r="AA258" s="65"/>
      <c r="AB258" s="65"/>
      <c r="AC258" s="65"/>
      <c r="AD258" s="65"/>
      <c r="AE258" s="66"/>
      <c r="AF258" s="66"/>
      <c r="AG258" s="66"/>
      <c r="AH258" s="66"/>
      <c r="AI258" s="65"/>
      <c r="AJ258" s="65"/>
      <c r="AK258" s="65"/>
      <c r="AL258" s="65"/>
      <c r="AM258" s="65"/>
      <c r="AN258" s="65"/>
      <c r="AO258" s="65"/>
      <c r="AP258" s="65"/>
      <c r="AQ258" s="65"/>
      <c r="AR258" s="65"/>
      <c r="AS258" s="65"/>
      <c r="AT258" s="65"/>
      <c r="AU258" s="65"/>
      <c r="AV258" s="65"/>
      <c r="AW258" s="65"/>
      <c r="AX258" s="65"/>
      <c r="AY258" s="65"/>
      <c r="AZ258" s="65"/>
      <c r="BA258" s="65"/>
      <c r="BB258" s="65"/>
      <c r="BC258" s="65"/>
      <c r="BD258" s="65"/>
      <c r="BE258" s="65"/>
      <c r="BF258" s="65"/>
      <c r="BG258" s="65"/>
      <c r="BH258" s="237"/>
      <c r="BI258" s="237"/>
      <c r="BJ258" s="237"/>
      <c r="BK258" s="65">
        <v>0</v>
      </c>
      <c r="BL258" s="65">
        <v>0</v>
      </c>
      <c r="BM258" s="65">
        <v>0</v>
      </c>
      <c r="BN258" s="65">
        <f>IF(O258-BK258&gt;0,O258-BK258,0)</f>
        <v>0</v>
      </c>
      <c r="BO258" s="67">
        <f>IF(Q258-BM258&gt;0,Q258-BM258,0)</f>
        <v>0</v>
      </c>
      <c r="BP258" s="65">
        <f>IF(BN258+BO258&gt;0,BN258+BO258,0)</f>
        <v>0</v>
      </c>
      <c r="BQ258" s="65">
        <f>IF(U258=0,0,U258)</f>
        <v>0</v>
      </c>
      <c r="BR258" s="65">
        <f>IF(W258=0,0,W258)</f>
        <v>0</v>
      </c>
      <c r="BS258" s="65">
        <f>IF(BQ258+BR258&gt;0,BQ258+BR258,0)</f>
        <v>0</v>
      </c>
      <c r="BT258" s="65">
        <f>IF(V258&gt;0,V258,0)</f>
        <v>0</v>
      </c>
      <c r="BU258" s="65">
        <f>IF(BP258=0,0,BP258)</f>
        <v>0</v>
      </c>
      <c r="BV258" s="65">
        <f>IF(BS258=0,0,BS258)</f>
        <v>0</v>
      </c>
      <c r="BW258" s="65">
        <f>IF(BP258+BT258+BV258&gt;0,BP258+BT258+BV258,0)</f>
        <v>0</v>
      </c>
      <c r="BX258" s="6"/>
      <c r="BY258" s="6"/>
      <c r="BZ258" s="6"/>
      <c r="CA258" s="6"/>
      <c r="CB258" s="6"/>
      <c r="CC258" s="6"/>
      <c r="CD258" s="6"/>
      <c r="CE258" s="6"/>
      <c r="CF258" s="6"/>
      <c r="CG258" s="6"/>
    </row>
    <row r="259" spans="1:85" ht="15.75">
      <c r="A259" s="75"/>
      <c r="B259" s="76"/>
      <c r="C259" s="77"/>
      <c r="D259" s="280" t="s">
        <v>407</v>
      </c>
      <c r="E259" s="45">
        <f t="shared" ref="E259:H259" si="1382">SUM(E260+E262+E264)</f>
        <v>0</v>
      </c>
      <c r="F259" s="45">
        <f t="shared" si="1382"/>
        <v>0</v>
      </c>
      <c r="G259" s="45">
        <f t="shared" si="1382"/>
        <v>0</v>
      </c>
      <c r="H259" s="45">
        <f t="shared" si="1382"/>
        <v>0</v>
      </c>
      <c r="I259" s="47">
        <f t="shared" si="732"/>
        <v>0</v>
      </c>
      <c r="J259" s="47">
        <f t="shared" si="733"/>
        <v>0</v>
      </c>
      <c r="K259" s="45">
        <f t="shared" ref="K259:W259" si="1383">SUM(K260+K262+K264)</f>
        <v>0</v>
      </c>
      <c r="L259" s="45">
        <f t="shared" si="1383"/>
        <v>11460</v>
      </c>
      <c r="M259" s="45">
        <f t="shared" si="1383"/>
        <v>0</v>
      </c>
      <c r="N259" s="45">
        <f t="shared" si="1383"/>
        <v>86007</v>
      </c>
      <c r="O259" s="45">
        <f t="shared" si="1383"/>
        <v>0</v>
      </c>
      <c r="P259" s="45">
        <f t="shared" si="1383"/>
        <v>11460</v>
      </c>
      <c r="Q259" s="45">
        <f t="shared" si="1383"/>
        <v>86007</v>
      </c>
      <c r="R259" s="45">
        <f t="shared" si="1383"/>
        <v>0</v>
      </c>
      <c r="S259" s="45">
        <f t="shared" si="1383"/>
        <v>11460</v>
      </c>
      <c r="T259" s="45">
        <f t="shared" si="1383"/>
        <v>86007</v>
      </c>
      <c r="U259" s="45">
        <f t="shared" si="1383"/>
        <v>0</v>
      </c>
      <c r="V259" s="45">
        <f t="shared" si="1383"/>
        <v>0</v>
      </c>
      <c r="W259" s="45">
        <f t="shared" si="1383"/>
        <v>0</v>
      </c>
      <c r="X259" s="50">
        <f t="shared" ref="X259:Y259" si="1384">IF(O259&gt;0,O259/K259,0)</f>
        <v>0</v>
      </c>
      <c r="Y259" s="50">
        <f t="shared" si="1384"/>
        <v>1</v>
      </c>
      <c r="Z259" s="50">
        <f t="shared" si="1014"/>
        <v>1</v>
      </c>
      <c r="AA259" s="45">
        <f t="shared" ref="AA259:BW259" si="1385">SUM(AA260+AA262+AA264)</f>
        <v>0</v>
      </c>
      <c r="AB259" s="45">
        <f t="shared" si="1385"/>
        <v>11460</v>
      </c>
      <c r="AC259" s="45">
        <f t="shared" si="1385"/>
        <v>0</v>
      </c>
      <c r="AD259" s="45">
        <f t="shared" si="1385"/>
        <v>0</v>
      </c>
      <c r="AE259" s="45">
        <f t="shared" si="1385"/>
        <v>0</v>
      </c>
      <c r="AF259" s="45">
        <f t="shared" si="1385"/>
        <v>0</v>
      </c>
      <c r="AG259" s="45">
        <f t="shared" si="1385"/>
        <v>0</v>
      </c>
      <c r="AH259" s="45">
        <f t="shared" si="1385"/>
        <v>0</v>
      </c>
      <c r="AI259" s="45">
        <f t="shared" si="1385"/>
        <v>40377</v>
      </c>
      <c r="AJ259" s="45">
        <f t="shared" si="1385"/>
        <v>0</v>
      </c>
      <c r="AK259" s="45">
        <f t="shared" si="1385"/>
        <v>0</v>
      </c>
      <c r="AL259" s="45">
        <f t="shared" si="1385"/>
        <v>0</v>
      </c>
      <c r="AM259" s="45">
        <f t="shared" si="1385"/>
        <v>0</v>
      </c>
      <c r="AN259" s="45">
        <f t="shared" si="1385"/>
        <v>0</v>
      </c>
      <c r="AO259" s="45">
        <f t="shared" si="1385"/>
        <v>45630</v>
      </c>
      <c r="AP259" s="45">
        <f t="shared" si="1385"/>
        <v>0</v>
      </c>
      <c r="AQ259" s="45">
        <f t="shared" si="1385"/>
        <v>0</v>
      </c>
      <c r="AR259" s="45">
        <f t="shared" si="1385"/>
        <v>0</v>
      </c>
      <c r="AS259" s="45">
        <f t="shared" si="1385"/>
        <v>0</v>
      </c>
      <c r="AT259" s="45">
        <f t="shared" si="1385"/>
        <v>0</v>
      </c>
      <c r="AU259" s="45">
        <f t="shared" si="1385"/>
        <v>0</v>
      </c>
      <c r="AV259" s="45">
        <f t="shared" si="1385"/>
        <v>0</v>
      </c>
      <c r="AW259" s="45">
        <f t="shared" si="1385"/>
        <v>0</v>
      </c>
      <c r="AX259" s="45">
        <f t="shared" si="1385"/>
        <v>0</v>
      </c>
      <c r="AY259" s="45">
        <f t="shared" si="1385"/>
        <v>0</v>
      </c>
      <c r="AZ259" s="45">
        <f t="shared" si="1385"/>
        <v>0</v>
      </c>
      <c r="BA259" s="45">
        <f t="shared" si="1385"/>
        <v>0</v>
      </c>
      <c r="BB259" s="45">
        <f t="shared" si="1385"/>
        <v>0</v>
      </c>
      <c r="BC259" s="45">
        <f t="shared" si="1385"/>
        <v>0</v>
      </c>
      <c r="BD259" s="45">
        <f t="shared" si="1385"/>
        <v>0</v>
      </c>
      <c r="BE259" s="45">
        <f t="shared" si="1385"/>
        <v>0</v>
      </c>
      <c r="BF259" s="45">
        <f t="shared" si="1385"/>
        <v>0</v>
      </c>
      <c r="BG259" s="45">
        <f t="shared" si="1385"/>
        <v>0</v>
      </c>
      <c r="BH259" s="45">
        <f t="shared" si="1385"/>
        <v>0</v>
      </c>
      <c r="BI259" s="45">
        <f t="shared" si="1385"/>
        <v>0</v>
      </c>
      <c r="BJ259" s="45">
        <f t="shared" si="1385"/>
        <v>0</v>
      </c>
      <c r="BK259" s="45">
        <f t="shared" si="1385"/>
        <v>0</v>
      </c>
      <c r="BL259" s="45">
        <f t="shared" si="1385"/>
        <v>0</v>
      </c>
      <c r="BM259" s="45">
        <f t="shared" si="1385"/>
        <v>0</v>
      </c>
      <c r="BN259" s="45">
        <f t="shared" si="1385"/>
        <v>0</v>
      </c>
      <c r="BO259" s="45">
        <f t="shared" si="1385"/>
        <v>86007</v>
      </c>
      <c r="BP259" s="45">
        <f t="shared" si="1385"/>
        <v>86007</v>
      </c>
      <c r="BQ259" s="45">
        <f t="shared" si="1385"/>
        <v>0</v>
      </c>
      <c r="BR259" s="45">
        <f t="shared" si="1385"/>
        <v>0</v>
      </c>
      <c r="BS259" s="45">
        <f t="shared" si="1385"/>
        <v>0</v>
      </c>
      <c r="BT259" s="45">
        <f t="shared" si="1385"/>
        <v>0</v>
      </c>
      <c r="BU259" s="45">
        <f t="shared" si="1385"/>
        <v>86007</v>
      </c>
      <c r="BV259" s="45">
        <f t="shared" si="1385"/>
        <v>0</v>
      </c>
      <c r="BW259" s="45">
        <f t="shared" si="1385"/>
        <v>86007</v>
      </c>
      <c r="BX259" s="51"/>
      <c r="BY259" s="51"/>
      <c r="BZ259" s="51"/>
      <c r="CA259" s="51"/>
      <c r="CB259" s="51"/>
      <c r="CC259" s="51"/>
      <c r="CD259" s="51"/>
      <c r="CE259" s="51"/>
      <c r="CF259" s="51"/>
      <c r="CG259" s="51"/>
    </row>
    <row r="260" spans="1:85" ht="15.75" customHeight="1">
      <c r="A260" s="217"/>
      <c r="B260" s="218"/>
      <c r="C260" s="219"/>
      <c r="D260" s="220" t="s">
        <v>339</v>
      </c>
      <c r="E260" s="213">
        <f t="shared" ref="E260:H260" si="1386">E261</f>
        <v>0</v>
      </c>
      <c r="F260" s="214">
        <f t="shared" si="1386"/>
        <v>0</v>
      </c>
      <c r="G260" s="214">
        <f t="shared" si="1386"/>
        <v>0</v>
      </c>
      <c r="H260" s="214">
        <f t="shared" si="1386"/>
        <v>0</v>
      </c>
      <c r="I260" s="215">
        <f t="shared" si="732"/>
        <v>0</v>
      </c>
      <c r="J260" s="215">
        <f t="shared" si="733"/>
        <v>0</v>
      </c>
      <c r="K260" s="214">
        <f t="shared" ref="K260:W260" si="1387">K261</f>
        <v>0</v>
      </c>
      <c r="L260" s="214">
        <f t="shared" si="1387"/>
        <v>0</v>
      </c>
      <c r="M260" s="214">
        <f t="shared" si="1387"/>
        <v>0</v>
      </c>
      <c r="N260" s="214">
        <f t="shared" si="1387"/>
        <v>0</v>
      </c>
      <c r="O260" s="214">
        <f t="shared" si="1387"/>
        <v>0</v>
      </c>
      <c r="P260" s="214">
        <f t="shared" si="1387"/>
        <v>0</v>
      </c>
      <c r="Q260" s="214">
        <f t="shared" si="1387"/>
        <v>0</v>
      </c>
      <c r="R260" s="214">
        <f t="shared" si="1387"/>
        <v>0</v>
      </c>
      <c r="S260" s="214">
        <f t="shared" si="1387"/>
        <v>0</v>
      </c>
      <c r="T260" s="214">
        <f t="shared" si="1387"/>
        <v>0</v>
      </c>
      <c r="U260" s="214">
        <f t="shared" si="1387"/>
        <v>0</v>
      </c>
      <c r="V260" s="214">
        <f t="shared" si="1387"/>
        <v>0</v>
      </c>
      <c r="W260" s="214">
        <f t="shared" si="1387"/>
        <v>0</v>
      </c>
      <c r="X260" s="216">
        <f t="shared" ref="X260:Y260" si="1388">IF(O260&gt;0,O260/K260,0)</f>
        <v>0</v>
      </c>
      <c r="Y260" s="216">
        <f t="shared" si="1388"/>
        <v>0</v>
      </c>
      <c r="Z260" s="216">
        <f t="shared" si="1014"/>
        <v>0</v>
      </c>
      <c r="AA260" s="214">
        <f t="shared" ref="AA260:BW260" si="1389">AA261</f>
        <v>0</v>
      </c>
      <c r="AB260" s="214">
        <f t="shared" si="1389"/>
        <v>0</v>
      </c>
      <c r="AC260" s="214">
        <f t="shared" si="1389"/>
        <v>0</v>
      </c>
      <c r="AD260" s="214">
        <f t="shared" si="1389"/>
        <v>0</v>
      </c>
      <c r="AE260" s="214">
        <f t="shared" si="1389"/>
        <v>0</v>
      </c>
      <c r="AF260" s="214">
        <f t="shared" si="1389"/>
        <v>0</v>
      </c>
      <c r="AG260" s="214">
        <f t="shared" si="1389"/>
        <v>0</v>
      </c>
      <c r="AH260" s="214">
        <f t="shared" si="1389"/>
        <v>0</v>
      </c>
      <c r="AI260" s="214">
        <f t="shared" si="1389"/>
        <v>0</v>
      </c>
      <c r="AJ260" s="214">
        <f t="shared" si="1389"/>
        <v>0</v>
      </c>
      <c r="AK260" s="214">
        <f t="shared" si="1389"/>
        <v>0</v>
      </c>
      <c r="AL260" s="214">
        <f t="shared" si="1389"/>
        <v>0</v>
      </c>
      <c r="AM260" s="214">
        <f t="shared" si="1389"/>
        <v>0</v>
      </c>
      <c r="AN260" s="214">
        <f t="shared" si="1389"/>
        <v>0</v>
      </c>
      <c r="AO260" s="214">
        <f t="shared" si="1389"/>
        <v>0</v>
      </c>
      <c r="AP260" s="214">
        <f t="shared" si="1389"/>
        <v>0</v>
      </c>
      <c r="AQ260" s="214">
        <f t="shared" si="1389"/>
        <v>0</v>
      </c>
      <c r="AR260" s="214">
        <f t="shared" si="1389"/>
        <v>0</v>
      </c>
      <c r="AS260" s="214">
        <f t="shared" si="1389"/>
        <v>0</v>
      </c>
      <c r="AT260" s="214">
        <f t="shared" si="1389"/>
        <v>0</v>
      </c>
      <c r="AU260" s="214">
        <f t="shared" si="1389"/>
        <v>0</v>
      </c>
      <c r="AV260" s="214">
        <f t="shared" si="1389"/>
        <v>0</v>
      </c>
      <c r="AW260" s="214">
        <f t="shared" si="1389"/>
        <v>0</v>
      </c>
      <c r="AX260" s="214">
        <f t="shared" si="1389"/>
        <v>0</v>
      </c>
      <c r="AY260" s="214">
        <f t="shared" si="1389"/>
        <v>0</v>
      </c>
      <c r="AZ260" s="214">
        <f t="shared" si="1389"/>
        <v>0</v>
      </c>
      <c r="BA260" s="214">
        <f t="shared" si="1389"/>
        <v>0</v>
      </c>
      <c r="BB260" s="214">
        <f t="shared" si="1389"/>
        <v>0</v>
      </c>
      <c r="BC260" s="214">
        <f t="shared" si="1389"/>
        <v>0</v>
      </c>
      <c r="BD260" s="214">
        <f t="shared" si="1389"/>
        <v>0</v>
      </c>
      <c r="BE260" s="214">
        <f t="shared" si="1389"/>
        <v>0</v>
      </c>
      <c r="BF260" s="214">
        <f t="shared" si="1389"/>
        <v>0</v>
      </c>
      <c r="BG260" s="214">
        <f t="shared" si="1389"/>
        <v>0</v>
      </c>
      <c r="BH260" s="214">
        <f t="shared" si="1389"/>
        <v>0</v>
      </c>
      <c r="BI260" s="214">
        <f t="shared" si="1389"/>
        <v>0</v>
      </c>
      <c r="BJ260" s="214">
        <f t="shared" si="1389"/>
        <v>0</v>
      </c>
      <c r="BK260" s="214">
        <f t="shared" si="1389"/>
        <v>0</v>
      </c>
      <c r="BL260" s="214">
        <f t="shared" si="1389"/>
        <v>0</v>
      </c>
      <c r="BM260" s="214">
        <f t="shared" si="1389"/>
        <v>0</v>
      </c>
      <c r="BN260" s="214">
        <f t="shared" si="1389"/>
        <v>0</v>
      </c>
      <c r="BO260" s="214">
        <f t="shared" si="1389"/>
        <v>0</v>
      </c>
      <c r="BP260" s="214">
        <f t="shared" si="1389"/>
        <v>0</v>
      </c>
      <c r="BQ260" s="214">
        <f t="shared" si="1389"/>
        <v>0</v>
      </c>
      <c r="BR260" s="214">
        <f t="shared" si="1389"/>
        <v>0</v>
      </c>
      <c r="BS260" s="214">
        <f t="shared" si="1389"/>
        <v>0</v>
      </c>
      <c r="BT260" s="214">
        <f t="shared" si="1389"/>
        <v>0</v>
      </c>
      <c r="BU260" s="214">
        <f t="shared" si="1389"/>
        <v>0</v>
      </c>
      <c r="BV260" s="214">
        <f t="shared" si="1389"/>
        <v>0</v>
      </c>
      <c r="BW260" s="214">
        <f t="shared" si="1389"/>
        <v>0</v>
      </c>
      <c r="BX260" s="51"/>
      <c r="BY260" s="51"/>
      <c r="BZ260" s="51"/>
      <c r="CA260" s="51"/>
      <c r="CB260" s="51"/>
      <c r="CC260" s="51"/>
      <c r="CD260" s="51"/>
      <c r="CE260" s="51"/>
      <c r="CF260" s="51"/>
      <c r="CG260" s="51"/>
    </row>
    <row r="261" spans="1:85" ht="15.75" customHeight="1">
      <c r="A261" s="81"/>
      <c r="B261" s="253"/>
      <c r="C261" s="81" t="s">
        <v>346</v>
      </c>
      <c r="D261" s="263" t="s">
        <v>341</v>
      </c>
      <c r="E261" s="57">
        <v>0</v>
      </c>
      <c r="F261" s="57">
        <v>0</v>
      </c>
      <c r="G261" s="58">
        <f>E261-F261</f>
        <v>0</v>
      </c>
      <c r="H261" s="57">
        <v>0</v>
      </c>
      <c r="I261" s="59">
        <f t="shared" si="732"/>
        <v>0</v>
      </c>
      <c r="J261" s="59">
        <f t="shared" si="733"/>
        <v>0</v>
      </c>
      <c r="K261" s="74">
        <v>0</v>
      </c>
      <c r="L261" s="74">
        <v>0</v>
      </c>
      <c r="M261" s="74">
        <v>0</v>
      </c>
      <c r="N261" s="74">
        <v>0</v>
      </c>
      <c r="O261" s="61">
        <f t="shared" ref="O261:Q261" si="1390">AA261+AD261+AG261+AJ261+AM261+AP261+AS261+AV261+AY261+BB261+BE261+BH261</f>
        <v>0</v>
      </c>
      <c r="P261" s="61">
        <f t="shared" si="1390"/>
        <v>0</v>
      </c>
      <c r="Q261" s="61">
        <f t="shared" si="1390"/>
        <v>0</v>
      </c>
      <c r="R261" s="61">
        <f t="shared" ref="R261:T261" si="1391">IF(BK261=0,SUM(AA261+AD261+AG261+AJ261+AM261+AP261+AS261+AV261+AY261+BB261+BE261+BH261),BK261)</f>
        <v>0</v>
      </c>
      <c r="S261" s="61">
        <f t="shared" si="1391"/>
        <v>0</v>
      </c>
      <c r="T261" s="61">
        <f t="shared" si="1391"/>
        <v>0</v>
      </c>
      <c r="U261" s="63">
        <f>K261-O261</f>
        <v>0</v>
      </c>
      <c r="V261" s="63">
        <f>L261-M261-S261</f>
        <v>0</v>
      </c>
      <c r="W261" s="63">
        <f>N261-Q261</f>
        <v>0</v>
      </c>
      <c r="X261" s="64">
        <f t="shared" ref="X261:Y261" si="1392">IF(O261&gt;0,O261/K261,0)</f>
        <v>0</v>
      </c>
      <c r="Y261" s="64">
        <f t="shared" si="1392"/>
        <v>0</v>
      </c>
      <c r="Z261" s="64">
        <f t="shared" si="1014"/>
        <v>0</v>
      </c>
      <c r="AA261" s="65"/>
      <c r="AB261" s="65"/>
      <c r="AC261" s="65"/>
      <c r="AD261" s="65"/>
      <c r="AE261" s="66"/>
      <c r="AF261" s="66"/>
      <c r="AG261" s="66"/>
      <c r="AH261" s="66"/>
      <c r="AI261" s="65"/>
      <c r="AJ261" s="65"/>
      <c r="AK261" s="65"/>
      <c r="AL261" s="65"/>
      <c r="AM261" s="65"/>
      <c r="AN261" s="65"/>
      <c r="AO261" s="65"/>
      <c r="AP261" s="65"/>
      <c r="AQ261" s="65"/>
      <c r="AR261" s="65"/>
      <c r="AS261" s="65"/>
      <c r="AT261" s="65"/>
      <c r="AU261" s="65"/>
      <c r="AV261" s="65"/>
      <c r="AW261" s="65"/>
      <c r="AX261" s="65"/>
      <c r="AY261" s="65"/>
      <c r="AZ261" s="65"/>
      <c r="BA261" s="65"/>
      <c r="BB261" s="65"/>
      <c r="BC261" s="65"/>
      <c r="BD261" s="65"/>
      <c r="BE261" s="65"/>
      <c r="BF261" s="65"/>
      <c r="BG261" s="65"/>
      <c r="BH261" s="237"/>
      <c r="BI261" s="237"/>
      <c r="BJ261" s="237"/>
      <c r="BK261" s="65">
        <v>0</v>
      </c>
      <c r="BL261" s="65">
        <v>0</v>
      </c>
      <c r="BM261" s="65">
        <v>0</v>
      </c>
      <c r="BN261" s="65">
        <f>IF(O261-BK261&gt;0,O261-BK261,0)</f>
        <v>0</v>
      </c>
      <c r="BO261" s="67">
        <f>IF(Q261-BM261&gt;0,Q261-BM261,0)</f>
        <v>0</v>
      </c>
      <c r="BP261" s="65">
        <f>IF(BN261+BO261&gt;0,BN261+BO261,0)</f>
        <v>0</v>
      </c>
      <c r="BQ261" s="65">
        <f>IF(U261=0,0,U261)</f>
        <v>0</v>
      </c>
      <c r="BR261" s="65">
        <f>IF(W261=0,0,W261)</f>
        <v>0</v>
      </c>
      <c r="BS261" s="65">
        <f>IF(BQ261+BR261&gt;0,BQ261+BR261,0)</f>
        <v>0</v>
      </c>
      <c r="BT261" s="65">
        <f>IF(V261&gt;0,V261,0)</f>
        <v>0</v>
      </c>
      <c r="BU261" s="65">
        <f>IF(BP261=0,0,BP261)</f>
        <v>0</v>
      </c>
      <c r="BV261" s="65">
        <f>IF(BS261=0,0,BS261)</f>
        <v>0</v>
      </c>
      <c r="BW261" s="65">
        <f>IF(BP261+BT261+BV261&gt;0,BP261+BT261+BV261,0)</f>
        <v>0</v>
      </c>
      <c r="BX261" s="6"/>
      <c r="BY261" s="6"/>
      <c r="BZ261" s="6"/>
      <c r="CA261" s="6"/>
      <c r="CB261" s="6"/>
      <c r="CC261" s="6"/>
      <c r="CD261" s="6"/>
      <c r="CE261" s="6"/>
      <c r="CF261" s="6"/>
      <c r="CG261" s="6"/>
    </row>
    <row r="262" spans="1:85" ht="15.75">
      <c r="A262" s="217"/>
      <c r="B262" s="218"/>
      <c r="C262" s="219"/>
      <c r="D262" s="220" t="s">
        <v>168</v>
      </c>
      <c r="E262" s="213">
        <f t="shared" ref="E262:H262" si="1393">SUM(E263)</f>
        <v>0</v>
      </c>
      <c r="F262" s="214">
        <f t="shared" si="1393"/>
        <v>0</v>
      </c>
      <c r="G262" s="214">
        <f t="shared" si="1393"/>
        <v>0</v>
      </c>
      <c r="H262" s="214">
        <f t="shared" si="1393"/>
        <v>0</v>
      </c>
      <c r="I262" s="215">
        <f t="shared" si="732"/>
        <v>0</v>
      </c>
      <c r="J262" s="215">
        <f t="shared" si="733"/>
        <v>0</v>
      </c>
      <c r="K262" s="214">
        <f t="shared" ref="K262:W262" si="1394">SUM(K263)</f>
        <v>0</v>
      </c>
      <c r="L262" s="214">
        <f t="shared" si="1394"/>
        <v>0</v>
      </c>
      <c r="M262" s="214">
        <f t="shared" si="1394"/>
        <v>0</v>
      </c>
      <c r="N262" s="214">
        <f t="shared" si="1394"/>
        <v>0</v>
      </c>
      <c r="O262" s="214">
        <f t="shared" si="1394"/>
        <v>0</v>
      </c>
      <c r="P262" s="214">
        <f t="shared" si="1394"/>
        <v>0</v>
      </c>
      <c r="Q262" s="214">
        <f t="shared" si="1394"/>
        <v>0</v>
      </c>
      <c r="R262" s="214">
        <f t="shared" si="1394"/>
        <v>0</v>
      </c>
      <c r="S262" s="214">
        <f t="shared" si="1394"/>
        <v>0</v>
      </c>
      <c r="T262" s="214">
        <f t="shared" si="1394"/>
        <v>0</v>
      </c>
      <c r="U262" s="214">
        <f t="shared" si="1394"/>
        <v>0</v>
      </c>
      <c r="V262" s="214">
        <f t="shared" si="1394"/>
        <v>0</v>
      </c>
      <c r="W262" s="214">
        <f t="shared" si="1394"/>
        <v>0</v>
      </c>
      <c r="X262" s="216">
        <f t="shared" ref="X262:Y262" si="1395">IF(O262&gt;0,O262/K262,0)</f>
        <v>0</v>
      </c>
      <c r="Y262" s="216">
        <f t="shared" si="1395"/>
        <v>0</v>
      </c>
      <c r="Z262" s="216">
        <f t="shared" si="1014"/>
        <v>0</v>
      </c>
      <c r="AA262" s="214">
        <f t="shared" ref="AA262:BW262" si="1396">SUM(AA263)</f>
        <v>0</v>
      </c>
      <c r="AB262" s="214">
        <f t="shared" si="1396"/>
        <v>0</v>
      </c>
      <c r="AC262" s="214">
        <f t="shared" si="1396"/>
        <v>0</v>
      </c>
      <c r="AD262" s="214">
        <f t="shared" si="1396"/>
        <v>0</v>
      </c>
      <c r="AE262" s="214">
        <f t="shared" si="1396"/>
        <v>0</v>
      </c>
      <c r="AF262" s="214">
        <f t="shared" si="1396"/>
        <v>0</v>
      </c>
      <c r="AG262" s="214">
        <f t="shared" si="1396"/>
        <v>0</v>
      </c>
      <c r="AH262" s="214">
        <f t="shared" si="1396"/>
        <v>0</v>
      </c>
      <c r="AI262" s="214">
        <f t="shared" si="1396"/>
        <v>0</v>
      </c>
      <c r="AJ262" s="214">
        <f t="shared" si="1396"/>
        <v>0</v>
      </c>
      <c r="AK262" s="214">
        <f t="shared" si="1396"/>
        <v>0</v>
      </c>
      <c r="AL262" s="214">
        <f t="shared" si="1396"/>
        <v>0</v>
      </c>
      <c r="AM262" s="214">
        <f t="shared" si="1396"/>
        <v>0</v>
      </c>
      <c r="AN262" s="214">
        <f t="shared" si="1396"/>
        <v>0</v>
      </c>
      <c r="AO262" s="214">
        <f t="shared" si="1396"/>
        <v>0</v>
      </c>
      <c r="AP262" s="214">
        <f t="shared" si="1396"/>
        <v>0</v>
      </c>
      <c r="AQ262" s="214">
        <f t="shared" si="1396"/>
        <v>0</v>
      </c>
      <c r="AR262" s="214">
        <f t="shared" si="1396"/>
        <v>0</v>
      </c>
      <c r="AS262" s="214">
        <f t="shared" si="1396"/>
        <v>0</v>
      </c>
      <c r="AT262" s="214">
        <f t="shared" si="1396"/>
        <v>0</v>
      </c>
      <c r="AU262" s="214">
        <f t="shared" si="1396"/>
        <v>0</v>
      </c>
      <c r="AV262" s="214">
        <f t="shared" si="1396"/>
        <v>0</v>
      </c>
      <c r="AW262" s="214">
        <f t="shared" si="1396"/>
        <v>0</v>
      </c>
      <c r="AX262" s="214">
        <f t="shared" si="1396"/>
        <v>0</v>
      </c>
      <c r="AY262" s="214">
        <f t="shared" si="1396"/>
        <v>0</v>
      </c>
      <c r="AZ262" s="214">
        <f t="shared" si="1396"/>
        <v>0</v>
      </c>
      <c r="BA262" s="214">
        <f t="shared" si="1396"/>
        <v>0</v>
      </c>
      <c r="BB262" s="214">
        <f t="shared" si="1396"/>
        <v>0</v>
      </c>
      <c r="BC262" s="214">
        <f t="shared" si="1396"/>
        <v>0</v>
      </c>
      <c r="BD262" s="214">
        <f t="shared" si="1396"/>
        <v>0</v>
      </c>
      <c r="BE262" s="214">
        <f t="shared" si="1396"/>
        <v>0</v>
      </c>
      <c r="BF262" s="214">
        <f t="shared" si="1396"/>
        <v>0</v>
      </c>
      <c r="BG262" s="214">
        <f t="shared" si="1396"/>
        <v>0</v>
      </c>
      <c r="BH262" s="214">
        <f t="shared" si="1396"/>
        <v>0</v>
      </c>
      <c r="BI262" s="214">
        <f t="shared" si="1396"/>
        <v>0</v>
      </c>
      <c r="BJ262" s="214">
        <f t="shared" si="1396"/>
        <v>0</v>
      </c>
      <c r="BK262" s="214">
        <f t="shared" si="1396"/>
        <v>0</v>
      </c>
      <c r="BL262" s="214">
        <f t="shared" si="1396"/>
        <v>0</v>
      </c>
      <c r="BM262" s="214">
        <f t="shared" si="1396"/>
        <v>0</v>
      </c>
      <c r="BN262" s="214">
        <f t="shared" si="1396"/>
        <v>0</v>
      </c>
      <c r="BO262" s="214">
        <f t="shared" si="1396"/>
        <v>0</v>
      </c>
      <c r="BP262" s="214">
        <f t="shared" si="1396"/>
        <v>0</v>
      </c>
      <c r="BQ262" s="214">
        <f t="shared" si="1396"/>
        <v>0</v>
      </c>
      <c r="BR262" s="214">
        <f t="shared" si="1396"/>
        <v>0</v>
      </c>
      <c r="BS262" s="214">
        <f t="shared" si="1396"/>
        <v>0</v>
      </c>
      <c r="BT262" s="214">
        <f t="shared" si="1396"/>
        <v>0</v>
      </c>
      <c r="BU262" s="214">
        <f t="shared" si="1396"/>
        <v>0</v>
      </c>
      <c r="BV262" s="214">
        <f t="shared" si="1396"/>
        <v>0</v>
      </c>
      <c r="BW262" s="214">
        <f t="shared" si="1396"/>
        <v>0</v>
      </c>
      <c r="BX262" s="51"/>
      <c r="BY262" s="51"/>
      <c r="BZ262" s="51"/>
      <c r="CA262" s="51"/>
      <c r="CB262" s="51"/>
      <c r="CC262" s="51"/>
      <c r="CD262" s="51"/>
      <c r="CE262" s="51"/>
      <c r="CF262" s="51"/>
      <c r="CG262" s="51"/>
    </row>
    <row r="263" spans="1:85" ht="15.75" customHeight="1">
      <c r="A263" s="275"/>
      <c r="B263" s="276"/>
      <c r="C263" s="68" t="s">
        <v>408</v>
      </c>
      <c r="D263" s="70" t="s">
        <v>409</v>
      </c>
      <c r="E263" s="57">
        <v>0</v>
      </c>
      <c r="F263" s="57">
        <v>0</v>
      </c>
      <c r="G263" s="58">
        <f>E263-F263</f>
        <v>0</v>
      </c>
      <c r="H263" s="57">
        <v>0</v>
      </c>
      <c r="I263" s="59">
        <f t="shared" si="732"/>
        <v>0</v>
      </c>
      <c r="J263" s="59">
        <f t="shared" si="733"/>
        <v>0</v>
      </c>
      <c r="K263" s="74">
        <v>0</v>
      </c>
      <c r="L263" s="74">
        <v>0</v>
      </c>
      <c r="M263" s="74">
        <v>0</v>
      </c>
      <c r="N263" s="74">
        <v>0</v>
      </c>
      <c r="O263" s="61">
        <f t="shared" ref="O263:Q263" si="1397">AA263+AD263+AG263+AJ263+AM263+AP263+AS263+AV263+AY263+BB263+BE263+BH263</f>
        <v>0</v>
      </c>
      <c r="P263" s="61">
        <f t="shared" si="1397"/>
        <v>0</v>
      </c>
      <c r="Q263" s="61">
        <f t="shared" si="1397"/>
        <v>0</v>
      </c>
      <c r="R263" s="61">
        <f t="shared" ref="R263:T263" si="1398">IF(BK263=0,SUM(AA263+AD263+AG263+AJ263+AM263+AP263+AS263+AV263+AY263+BB263+BE263+BH263),BK263)</f>
        <v>0</v>
      </c>
      <c r="S263" s="61">
        <f t="shared" si="1398"/>
        <v>0</v>
      </c>
      <c r="T263" s="61">
        <f t="shared" si="1398"/>
        <v>0</v>
      </c>
      <c r="U263" s="63">
        <f>K263-O263</f>
        <v>0</v>
      </c>
      <c r="V263" s="63">
        <f>L263-M263-S263</f>
        <v>0</v>
      </c>
      <c r="W263" s="208">
        <f>N263-Q263</f>
        <v>0</v>
      </c>
      <c r="X263" s="64">
        <f t="shared" ref="X263:Y263" si="1399">IF(O263&gt;0,O263/K263,0)</f>
        <v>0</v>
      </c>
      <c r="Y263" s="64">
        <f t="shared" si="1399"/>
        <v>0</v>
      </c>
      <c r="Z263" s="64">
        <f t="shared" si="1014"/>
        <v>0</v>
      </c>
      <c r="AA263" s="65"/>
      <c r="AB263" s="65"/>
      <c r="AC263" s="65"/>
      <c r="AD263" s="65"/>
      <c r="AE263" s="66"/>
      <c r="AF263" s="66"/>
      <c r="AG263" s="66"/>
      <c r="AH263" s="66"/>
      <c r="AI263" s="65"/>
      <c r="AJ263" s="65"/>
      <c r="AK263" s="65"/>
      <c r="AL263" s="65"/>
      <c r="AM263" s="65"/>
      <c r="AN263" s="65"/>
      <c r="AO263" s="65"/>
      <c r="AP263" s="65"/>
      <c r="AQ263" s="65"/>
      <c r="AR263" s="65"/>
      <c r="AS263" s="65"/>
      <c r="AT263" s="65"/>
      <c r="AU263" s="65"/>
      <c r="AV263" s="65"/>
      <c r="AW263" s="65"/>
      <c r="AX263" s="65"/>
      <c r="AY263" s="65"/>
      <c r="AZ263" s="65"/>
      <c r="BA263" s="65"/>
      <c r="BB263" s="65"/>
      <c r="BC263" s="65"/>
      <c r="BD263" s="65"/>
      <c r="BE263" s="65"/>
      <c r="BF263" s="65"/>
      <c r="BG263" s="65"/>
      <c r="BH263" s="237"/>
      <c r="BI263" s="237"/>
      <c r="BJ263" s="237"/>
      <c r="BK263" s="65">
        <v>0</v>
      </c>
      <c r="BL263" s="65">
        <v>0</v>
      </c>
      <c r="BM263" s="65">
        <v>0</v>
      </c>
      <c r="BN263" s="65">
        <f>IF(O263-BK263&gt;0,O263-BK263,0)</f>
        <v>0</v>
      </c>
      <c r="BO263" s="67">
        <f>IF(Q263-BM263&gt;0,Q263-BM263,0)</f>
        <v>0</v>
      </c>
      <c r="BP263" s="65">
        <f>IF(BN263+BO263&gt;0,BN263+BO263,0)</f>
        <v>0</v>
      </c>
      <c r="BQ263" s="65">
        <f>IF(U263=0,0,U263)</f>
        <v>0</v>
      </c>
      <c r="BR263" s="65">
        <f>IF(W263=0,0,W263)</f>
        <v>0</v>
      </c>
      <c r="BS263" s="65">
        <f>IF(BQ263+BR263&gt;0,BQ263+BR263,0)</f>
        <v>0</v>
      </c>
      <c r="BT263" s="65">
        <f>IF(V263&gt;0,V263,0)</f>
        <v>0</v>
      </c>
      <c r="BU263" s="65">
        <f>IF(BP263=0,0,BP263)</f>
        <v>0</v>
      </c>
      <c r="BV263" s="65">
        <f>IF(BS263=0,0,BS263)</f>
        <v>0</v>
      </c>
      <c r="BW263" s="65">
        <f>IF(BP263+BT263+BV263&gt;0,BP263+BT263+BV263,0)</f>
        <v>0</v>
      </c>
      <c r="BX263" s="6"/>
      <c r="BY263" s="6"/>
      <c r="BZ263" s="6"/>
      <c r="CA263" s="6"/>
      <c r="CB263" s="6"/>
      <c r="CC263" s="6"/>
      <c r="CD263" s="6"/>
      <c r="CE263" s="6"/>
      <c r="CF263" s="6"/>
      <c r="CG263" s="6"/>
    </row>
    <row r="264" spans="1:85" ht="15.75">
      <c r="A264" s="217"/>
      <c r="B264" s="218"/>
      <c r="C264" s="219"/>
      <c r="D264" s="220" t="s">
        <v>264</v>
      </c>
      <c r="E264" s="213">
        <f t="shared" ref="E264:H264" si="1400">SUM(E265:E269)</f>
        <v>0</v>
      </c>
      <c r="F264" s="214">
        <f t="shared" si="1400"/>
        <v>0</v>
      </c>
      <c r="G264" s="214">
        <f t="shared" si="1400"/>
        <v>0</v>
      </c>
      <c r="H264" s="214">
        <f t="shared" si="1400"/>
        <v>0</v>
      </c>
      <c r="I264" s="215">
        <f t="shared" si="732"/>
        <v>0</v>
      </c>
      <c r="J264" s="215">
        <f t="shared" si="733"/>
        <v>0</v>
      </c>
      <c r="K264" s="214">
        <f t="shared" ref="K264:W264" si="1401">SUM(K265:K269)</f>
        <v>0</v>
      </c>
      <c r="L264" s="214">
        <f t="shared" si="1401"/>
        <v>11460</v>
      </c>
      <c r="M264" s="214">
        <f t="shared" si="1401"/>
        <v>0</v>
      </c>
      <c r="N264" s="214">
        <f t="shared" si="1401"/>
        <v>86007</v>
      </c>
      <c r="O264" s="214">
        <f t="shared" si="1401"/>
        <v>0</v>
      </c>
      <c r="P264" s="214">
        <f t="shared" si="1401"/>
        <v>11460</v>
      </c>
      <c r="Q264" s="214">
        <f t="shared" si="1401"/>
        <v>86007</v>
      </c>
      <c r="R264" s="214">
        <f t="shared" si="1401"/>
        <v>0</v>
      </c>
      <c r="S264" s="214">
        <f t="shared" si="1401"/>
        <v>11460</v>
      </c>
      <c r="T264" s="214">
        <f t="shared" si="1401"/>
        <v>86007</v>
      </c>
      <c r="U264" s="214">
        <f t="shared" si="1401"/>
        <v>0</v>
      </c>
      <c r="V264" s="214">
        <f t="shared" si="1401"/>
        <v>0</v>
      </c>
      <c r="W264" s="214">
        <f t="shared" si="1401"/>
        <v>0</v>
      </c>
      <c r="X264" s="216">
        <f t="shared" ref="X264:Y264" si="1402">IF(O264&gt;0,O264/K264,0)</f>
        <v>0</v>
      </c>
      <c r="Y264" s="216">
        <f t="shared" si="1402"/>
        <v>1</v>
      </c>
      <c r="Z264" s="216">
        <f t="shared" si="1014"/>
        <v>1</v>
      </c>
      <c r="AA264" s="214">
        <f t="shared" ref="AA264:BW264" si="1403">SUM(AA265:AA269)</f>
        <v>0</v>
      </c>
      <c r="AB264" s="214">
        <f t="shared" si="1403"/>
        <v>11460</v>
      </c>
      <c r="AC264" s="214">
        <f t="shared" si="1403"/>
        <v>0</v>
      </c>
      <c r="AD264" s="214">
        <f t="shared" si="1403"/>
        <v>0</v>
      </c>
      <c r="AE264" s="214">
        <f t="shared" si="1403"/>
        <v>0</v>
      </c>
      <c r="AF264" s="214">
        <f t="shared" si="1403"/>
        <v>0</v>
      </c>
      <c r="AG264" s="214">
        <f t="shared" si="1403"/>
        <v>0</v>
      </c>
      <c r="AH264" s="214">
        <f t="shared" si="1403"/>
        <v>0</v>
      </c>
      <c r="AI264" s="214">
        <f t="shared" si="1403"/>
        <v>40377</v>
      </c>
      <c r="AJ264" s="214">
        <f t="shared" si="1403"/>
        <v>0</v>
      </c>
      <c r="AK264" s="214">
        <f t="shared" si="1403"/>
        <v>0</v>
      </c>
      <c r="AL264" s="214">
        <f t="shared" si="1403"/>
        <v>0</v>
      </c>
      <c r="AM264" s="214">
        <f t="shared" si="1403"/>
        <v>0</v>
      </c>
      <c r="AN264" s="214">
        <f t="shared" si="1403"/>
        <v>0</v>
      </c>
      <c r="AO264" s="214">
        <f t="shared" si="1403"/>
        <v>45630</v>
      </c>
      <c r="AP264" s="214">
        <f t="shared" si="1403"/>
        <v>0</v>
      </c>
      <c r="AQ264" s="214">
        <f t="shared" si="1403"/>
        <v>0</v>
      </c>
      <c r="AR264" s="214">
        <f t="shared" si="1403"/>
        <v>0</v>
      </c>
      <c r="AS264" s="214">
        <f t="shared" si="1403"/>
        <v>0</v>
      </c>
      <c r="AT264" s="214">
        <f t="shared" si="1403"/>
        <v>0</v>
      </c>
      <c r="AU264" s="214">
        <f t="shared" si="1403"/>
        <v>0</v>
      </c>
      <c r="AV264" s="214">
        <f t="shared" si="1403"/>
        <v>0</v>
      </c>
      <c r="AW264" s="214">
        <f t="shared" si="1403"/>
        <v>0</v>
      </c>
      <c r="AX264" s="214">
        <f t="shared" si="1403"/>
        <v>0</v>
      </c>
      <c r="AY264" s="214">
        <f t="shared" si="1403"/>
        <v>0</v>
      </c>
      <c r="AZ264" s="214">
        <f t="shared" si="1403"/>
        <v>0</v>
      </c>
      <c r="BA264" s="214">
        <f t="shared" si="1403"/>
        <v>0</v>
      </c>
      <c r="BB264" s="214">
        <f t="shared" si="1403"/>
        <v>0</v>
      </c>
      <c r="BC264" s="214">
        <f t="shared" si="1403"/>
        <v>0</v>
      </c>
      <c r="BD264" s="214">
        <f t="shared" si="1403"/>
        <v>0</v>
      </c>
      <c r="BE264" s="214">
        <f t="shared" si="1403"/>
        <v>0</v>
      </c>
      <c r="BF264" s="214">
        <f t="shared" si="1403"/>
        <v>0</v>
      </c>
      <c r="BG264" s="214">
        <f t="shared" si="1403"/>
        <v>0</v>
      </c>
      <c r="BH264" s="214">
        <f t="shared" si="1403"/>
        <v>0</v>
      </c>
      <c r="BI264" s="214">
        <f t="shared" si="1403"/>
        <v>0</v>
      </c>
      <c r="BJ264" s="214">
        <f t="shared" si="1403"/>
        <v>0</v>
      </c>
      <c r="BK264" s="214">
        <f t="shared" si="1403"/>
        <v>0</v>
      </c>
      <c r="BL264" s="214">
        <f t="shared" si="1403"/>
        <v>0</v>
      </c>
      <c r="BM264" s="214">
        <f t="shared" si="1403"/>
        <v>0</v>
      </c>
      <c r="BN264" s="214">
        <f t="shared" si="1403"/>
        <v>0</v>
      </c>
      <c r="BO264" s="214">
        <f t="shared" si="1403"/>
        <v>86007</v>
      </c>
      <c r="BP264" s="214">
        <f t="shared" si="1403"/>
        <v>86007</v>
      </c>
      <c r="BQ264" s="214">
        <f t="shared" si="1403"/>
        <v>0</v>
      </c>
      <c r="BR264" s="214">
        <f t="shared" si="1403"/>
        <v>0</v>
      </c>
      <c r="BS264" s="214">
        <f t="shared" si="1403"/>
        <v>0</v>
      </c>
      <c r="BT264" s="214">
        <f t="shared" si="1403"/>
        <v>0</v>
      </c>
      <c r="BU264" s="214">
        <f t="shared" si="1403"/>
        <v>86007</v>
      </c>
      <c r="BV264" s="214">
        <f t="shared" si="1403"/>
        <v>0</v>
      </c>
      <c r="BW264" s="214">
        <f t="shared" si="1403"/>
        <v>86007</v>
      </c>
      <c r="BX264" s="51"/>
      <c r="BY264" s="51"/>
      <c r="BZ264" s="51"/>
      <c r="CA264" s="51"/>
      <c r="CB264" s="51"/>
      <c r="CC264" s="51"/>
      <c r="CD264" s="51"/>
      <c r="CE264" s="51"/>
      <c r="CF264" s="51"/>
      <c r="CG264" s="51"/>
    </row>
    <row r="265" spans="1:85" ht="15.75" customHeight="1">
      <c r="A265" s="173" t="s">
        <v>410</v>
      </c>
      <c r="B265" s="242"/>
      <c r="C265" s="104" t="s">
        <v>265</v>
      </c>
      <c r="D265" s="281" t="s">
        <v>411</v>
      </c>
      <c r="E265" s="57">
        <v>0</v>
      </c>
      <c r="F265" s="57">
        <v>0</v>
      </c>
      <c r="G265" s="58">
        <f t="shared" ref="G265:G267" si="1404">E265-F265</f>
        <v>0</v>
      </c>
      <c r="H265" s="57">
        <v>0</v>
      </c>
      <c r="I265" s="59">
        <f t="shared" si="732"/>
        <v>0</v>
      </c>
      <c r="J265" s="59">
        <f t="shared" si="733"/>
        <v>0</v>
      </c>
      <c r="K265" s="74">
        <v>0</v>
      </c>
      <c r="L265" s="74">
        <v>0</v>
      </c>
      <c r="M265" s="74">
        <v>0</v>
      </c>
      <c r="N265" s="74">
        <f>63900-63900</f>
        <v>0</v>
      </c>
      <c r="O265" s="61">
        <f t="shared" ref="O265:Q265" si="1405">AA265+AD265+AG265+AJ265+AM265+AP265+AS265+AV265+AY265+BB265+BE265+BH265</f>
        <v>0</v>
      </c>
      <c r="P265" s="61">
        <f t="shared" si="1405"/>
        <v>0</v>
      </c>
      <c r="Q265" s="61">
        <f t="shared" si="1405"/>
        <v>0</v>
      </c>
      <c r="R265" s="61">
        <f t="shared" ref="R265:T265" si="1406">IF(BK265=0,SUM(AA265+AD265+AG265+AJ265+AM265+AP265+AS265+AV265+AY265+BB265+BE265+BH265),BK265)</f>
        <v>0</v>
      </c>
      <c r="S265" s="61">
        <f t="shared" si="1406"/>
        <v>0</v>
      </c>
      <c r="T265" s="61">
        <f t="shared" si="1406"/>
        <v>0</v>
      </c>
      <c r="U265" s="63">
        <f t="shared" ref="U265:U269" si="1407">K265-O265</f>
        <v>0</v>
      </c>
      <c r="V265" s="63">
        <f t="shared" ref="V265:V269" si="1408">L265-M265-S265</f>
        <v>0</v>
      </c>
      <c r="W265" s="63">
        <f t="shared" ref="W265:W269" si="1409">N265-Q265</f>
        <v>0</v>
      </c>
      <c r="X265" s="64">
        <f t="shared" ref="X265:Y265" si="1410">IF(O265&gt;0,O265/K265,0)</f>
        <v>0</v>
      </c>
      <c r="Y265" s="64">
        <f t="shared" si="1410"/>
        <v>0</v>
      </c>
      <c r="Z265" s="64">
        <f t="shared" si="1014"/>
        <v>0</v>
      </c>
      <c r="AA265" s="65"/>
      <c r="AB265" s="65"/>
      <c r="AC265" s="65"/>
      <c r="AD265" s="65"/>
      <c r="AE265" s="66"/>
      <c r="AF265" s="66"/>
      <c r="AG265" s="66"/>
      <c r="AH265" s="66"/>
      <c r="AI265" s="65"/>
      <c r="AJ265" s="65"/>
      <c r="AK265" s="65"/>
      <c r="AL265" s="65"/>
      <c r="AM265" s="65"/>
      <c r="AN265" s="65"/>
      <c r="AO265" s="65"/>
      <c r="AP265" s="65"/>
      <c r="AQ265" s="65"/>
      <c r="AR265" s="65"/>
      <c r="AS265" s="65"/>
      <c r="AT265" s="65"/>
      <c r="AU265" s="65"/>
      <c r="AV265" s="65"/>
      <c r="AW265" s="65"/>
      <c r="AX265" s="65"/>
      <c r="AY265" s="65"/>
      <c r="AZ265" s="65"/>
      <c r="BA265" s="65"/>
      <c r="BB265" s="65"/>
      <c r="BC265" s="65"/>
      <c r="BD265" s="65"/>
      <c r="BE265" s="65"/>
      <c r="BF265" s="65"/>
      <c r="BG265" s="65"/>
      <c r="BH265" s="237"/>
      <c r="BI265" s="237"/>
      <c r="BJ265" s="237"/>
      <c r="BK265" s="65">
        <v>0</v>
      </c>
      <c r="BL265" s="65">
        <v>0</v>
      </c>
      <c r="BM265" s="65">
        <v>0</v>
      </c>
      <c r="BN265" s="65">
        <f t="shared" ref="BN265:BN269" si="1411">IF(O265-BK265&gt;0,O265-BK265,0)</f>
        <v>0</v>
      </c>
      <c r="BO265" s="67">
        <f t="shared" ref="BO265:BO269" si="1412">IF(Q265-BM265&gt;0,Q265-BM265,0)</f>
        <v>0</v>
      </c>
      <c r="BP265" s="65">
        <f t="shared" ref="BP265:BP269" si="1413">IF(BN265+BO265&gt;0,BN265+BO265,0)</f>
        <v>0</v>
      </c>
      <c r="BQ265" s="65">
        <f t="shared" ref="BQ265:BQ269" si="1414">IF(U265=0,0,U265)</f>
        <v>0</v>
      </c>
      <c r="BR265" s="65">
        <f t="shared" ref="BR265:BR269" si="1415">IF(W265=0,0,W265)</f>
        <v>0</v>
      </c>
      <c r="BS265" s="65">
        <f t="shared" ref="BS265:BS269" si="1416">IF(BQ265+BR265&gt;0,BQ265+BR265,0)</f>
        <v>0</v>
      </c>
      <c r="BT265" s="65">
        <f t="shared" ref="BT265:BT269" si="1417">IF(V265&gt;0,V265,0)</f>
        <v>0</v>
      </c>
      <c r="BU265" s="65">
        <f t="shared" ref="BU265:BU269" si="1418">IF(BP265=0,0,BP265)</f>
        <v>0</v>
      </c>
      <c r="BV265" s="65">
        <f t="shared" ref="BV265:BV269" si="1419">IF(BS265=0,0,BS265)</f>
        <v>0</v>
      </c>
      <c r="BW265" s="65">
        <f t="shared" ref="BW265:BW269" si="1420">IF(BP265+BT265+BV265&gt;0,BP265+BT265+BV265,0)</f>
        <v>0</v>
      </c>
      <c r="BX265" s="6"/>
      <c r="BY265" s="6"/>
      <c r="BZ265" s="6"/>
      <c r="CA265" s="6"/>
      <c r="CB265" s="6"/>
      <c r="CC265" s="6"/>
      <c r="CD265" s="6"/>
      <c r="CE265" s="6"/>
      <c r="CF265" s="6"/>
      <c r="CG265" s="6"/>
    </row>
    <row r="266" spans="1:85" ht="15.75" customHeight="1">
      <c r="A266" s="173" t="s">
        <v>412</v>
      </c>
      <c r="B266" s="282"/>
      <c r="C266" s="52" t="s">
        <v>413</v>
      </c>
      <c r="D266" s="283" t="s">
        <v>414</v>
      </c>
      <c r="E266" s="57">
        <v>0</v>
      </c>
      <c r="F266" s="57">
        <v>0</v>
      </c>
      <c r="G266" s="58">
        <f t="shared" si="1404"/>
        <v>0</v>
      </c>
      <c r="H266" s="57">
        <v>0</v>
      </c>
      <c r="I266" s="59">
        <f t="shared" si="732"/>
        <v>0</v>
      </c>
      <c r="J266" s="59">
        <f t="shared" si="733"/>
        <v>0</v>
      </c>
      <c r="K266" s="74">
        <v>0</v>
      </c>
      <c r="L266" s="74">
        <v>0</v>
      </c>
      <c r="M266" s="74">
        <v>0</v>
      </c>
      <c r="N266" s="74">
        <f>40377.02-0.02</f>
        <v>40377</v>
      </c>
      <c r="O266" s="61">
        <f t="shared" ref="O266:Q266" si="1421">AA266+AD266+AG266+AJ266+AM266+AP266+AS266+AV266+AY266+BB266+BE266+BH266</f>
        <v>0</v>
      </c>
      <c r="P266" s="61">
        <f t="shared" si="1421"/>
        <v>0</v>
      </c>
      <c r="Q266" s="170">
        <f t="shared" si="1421"/>
        <v>40377</v>
      </c>
      <c r="R266" s="61">
        <f t="shared" ref="R266:T266" si="1422">IF(BK266=0,SUM(AA266+AD266+AG266+AJ266+AM266+AP266+AS266+AV266+AY266+BB266+BE266+BH266),BK266)</f>
        <v>0</v>
      </c>
      <c r="S266" s="61">
        <f t="shared" si="1422"/>
        <v>0</v>
      </c>
      <c r="T266" s="61">
        <f t="shared" si="1422"/>
        <v>40377</v>
      </c>
      <c r="U266" s="63">
        <f t="shared" si="1407"/>
        <v>0</v>
      </c>
      <c r="V266" s="63">
        <f t="shared" si="1408"/>
        <v>0</v>
      </c>
      <c r="W266" s="63">
        <f t="shared" si="1409"/>
        <v>0</v>
      </c>
      <c r="X266" s="64">
        <f t="shared" ref="X266:Y266" si="1423">IF(O266&gt;0,O266/K266,0)</f>
        <v>0</v>
      </c>
      <c r="Y266" s="64">
        <f t="shared" si="1423"/>
        <v>0</v>
      </c>
      <c r="Z266" s="64">
        <f t="shared" si="1014"/>
        <v>1</v>
      </c>
      <c r="AA266" s="65"/>
      <c r="AB266" s="65"/>
      <c r="AC266" s="65"/>
      <c r="AD266" s="65"/>
      <c r="AE266" s="66"/>
      <c r="AF266" s="66"/>
      <c r="AG266" s="113">
        <v>0</v>
      </c>
      <c r="AH266" s="66"/>
      <c r="AI266" s="100">
        <v>40377</v>
      </c>
      <c r="AJ266" s="65"/>
      <c r="AK266" s="65"/>
      <c r="AL266" s="65"/>
      <c r="AM266" s="65"/>
      <c r="AN266" s="65"/>
      <c r="AO266" s="65"/>
      <c r="AP266" s="65"/>
      <c r="AQ266" s="65"/>
      <c r="AR266" s="65"/>
      <c r="AS266" s="65"/>
      <c r="AT266" s="65"/>
      <c r="AU266" s="65"/>
      <c r="AV266" s="65"/>
      <c r="AW266" s="65"/>
      <c r="AX266" s="65"/>
      <c r="AY266" s="65"/>
      <c r="AZ266" s="65"/>
      <c r="BA266" s="65"/>
      <c r="BB266" s="65"/>
      <c r="BC266" s="65"/>
      <c r="BD266" s="65"/>
      <c r="BE266" s="65"/>
      <c r="BF266" s="65"/>
      <c r="BG266" s="65"/>
      <c r="BH266" s="237"/>
      <c r="BI266" s="237"/>
      <c r="BJ266" s="237"/>
      <c r="BK266" s="65">
        <v>0</v>
      </c>
      <c r="BL266" s="65">
        <v>0</v>
      </c>
      <c r="BM266" s="65">
        <v>0</v>
      </c>
      <c r="BN266" s="65">
        <f t="shared" si="1411"/>
        <v>0</v>
      </c>
      <c r="BO266" s="67">
        <f t="shared" si="1412"/>
        <v>40377</v>
      </c>
      <c r="BP266" s="65">
        <f t="shared" si="1413"/>
        <v>40377</v>
      </c>
      <c r="BQ266" s="65">
        <f t="shared" si="1414"/>
        <v>0</v>
      </c>
      <c r="BR266" s="65">
        <f t="shared" si="1415"/>
        <v>0</v>
      </c>
      <c r="BS266" s="65">
        <f t="shared" si="1416"/>
        <v>0</v>
      </c>
      <c r="BT266" s="65">
        <f t="shared" si="1417"/>
        <v>0</v>
      </c>
      <c r="BU266" s="65">
        <f t="shared" si="1418"/>
        <v>40377</v>
      </c>
      <c r="BV266" s="65">
        <f t="shared" si="1419"/>
        <v>0</v>
      </c>
      <c r="BW266" s="65">
        <f t="shared" si="1420"/>
        <v>40377</v>
      </c>
      <c r="BX266" s="6"/>
      <c r="BY266" s="6"/>
      <c r="BZ266" s="6"/>
      <c r="CA266" s="6"/>
      <c r="CB266" s="6"/>
      <c r="CC266" s="6"/>
      <c r="CD266" s="6"/>
      <c r="CE266" s="6"/>
      <c r="CF266" s="6"/>
      <c r="CG266" s="6"/>
    </row>
    <row r="267" spans="1:85" ht="15.75" customHeight="1">
      <c r="A267" s="121"/>
      <c r="B267" s="246"/>
      <c r="C267" s="68" t="s">
        <v>309</v>
      </c>
      <c r="D267" s="284" t="s">
        <v>415</v>
      </c>
      <c r="E267" s="57">
        <v>0</v>
      </c>
      <c r="F267" s="57">
        <v>0</v>
      </c>
      <c r="G267" s="58">
        <f t="shared" si="1404"/>
        <v>0</v>
      </c>
      <c r="H267" s="57">
        <v>0</v>
      </c>
      <c r="I267" s="59">
        <f t="shared" si="732"/>
        <v>0</v>
      </c>
      <c r="J267" s="59">
        <f t="shared" si="733"/>
        <v>0</v>
      </c>
      <c r="K267" s="74">
        <v>0</v>
      </c>
      <c r="L267" s="74">
        <v>0</v>
      </c>
      <c r="M267" s="74">
        <v>0</v>
      </c>
      <c r="N267" s="74">
        <v>0</v>
      </c>
      <c r="O267" s="61">
        <f t="shared" ref="O267:Q267" si="1424">AA267+AD267+AG267+AJ267+AM267+AP267+AS267+AV267+AY267+BB267+BE267+BH267</f>
        <v>0</v>
      </c>
      <c r="P267" s="61">
        <f t="shared" si="1424"/>
        <v>0</v>
      </c>
      <c r="Q267" s="61">
        <f t="shared" si="1424"/>
        <v>0</v>
      </c>
      <c r="R267" s="61">
        <f t="shared" ref="R267:T267" si="1425">IF(BK267=0,SUM(AA267+AD267+AG267+AJ267+AM267+AP267+AS267+AV267+AY267+BB267+BE267+BH267),BK267)</f>
        <v>0</v>
      </c>
      <c r="S267" s="61">
        <f t="shared" si="1425"/>
        <v>0</v>
      </c>
      <c r="T267" s="61">
        <f t="shared" si="1425"/>
        <v>0</v>
      </c>
      <c r="U267" s="63">
        <f t="shared" si="1407"/>
        <v>0</v>
      </c>
      <c r="V267" s="63">
        <f t="shared" si="1408"/>
        <v>0</v>
      </c>
      <c r="W267" s="63">
        <f t="shared" si="1409"/>
        <v>0</v>
      </c>
      <c r="X267" s="64">
        <f t="shared" ref="X267:Y267" si="1426">IF(O267&gt;0,O267/K267,0)</f>
        <v>0</v>
      </c>
      <c r="Y267" s="64">
        <f t="shared" si="1426"/>
        <v>0</v>
      </c>
      <c r="Z267" s="64">
        <f t="shared" si="1014"/>
        <v>0</v>
      </c>
      <c r="AA267" s="65"/>
      <c r="AB267" s="65"/>
      <c r="AC267" s="65"/>
      <c r="AD267" s="65"/>
      <c r="AE267" s="66"/>
      <c r="AF267" s="66"/>
      <c r="AG267" s="66"/>
      <c r="AH267" s="66"/>
      <c r="AI267" s="65"/>
      <c r="AJ267" s="65"/>
      <c r="AK267" s="65"/>
      <c r="AL267" s="65"/>
      <c r="AM267" s="65"/>
      <c r="AN267" s="65"/>
      <c r="AO267" s="65"/>
      <c r="AP267" s="65"/>
      <c r="AQ267" s="65"/>
      <c r="AR267" s="65"/>
      <c r="AS267" s="65"/>
      <c r="AT267" s="65"/>
      <c r="AU267" s="65"/>
      <c r="AV267" s="65"/>
      <c r="AW267" s="65"/>
      <c r="AX267" s="65"/>
      <c r="AY267" s="65"/>
      <c r="AZ267" s="65"/>
      <c r="BA267" s="65"/>
      <c r="BB267" s="65"/>
      <c r="BC267" s="65"/>
      <c r="BD267" s="65"/>
      <c r="BE267" s="65"/>
      <c r="BF267" s="65"/>
      <c r="BG267" s="65"/>
      <c r="BH267" s="237"/>
      <c r="BI267" s="237"/>
      <c r="BJ267" s="237"/>
      <c r="BK267" s="65">
        <v>0</v>
      </c>
      <c r="BL267" s="65">
        <v>0</v>
      </c>
      <c r="BM267" s="65">
        <v>0</v>
      </c>
      <c r="BN267" s="65">
        <f t="shared" si="1411"/>
        <v>0</v>
      </c>
      <c r="BO267" s="67">
        <f t="shared" si="1412"/>
        <v>0</v>
      </c>
      <c r="BP267" s="65">
        <f t="shared" si="1413"/>
        <v>0</v>
      </c>
      <c r="BQ267" s="65">
        <f t="shared" si="1414"/>
        <v>0</v>
      </c>
      <c r="BR267" s="65">
        <f t="shared" si="1415"/>
        <v>0</v>
      </c>
      <c r="BS267" s="65">
        <f t="shared" si="1416"/>
        <v>0</v>
      </c>
      <c r="BT267" s="65">
        <f t="shared" si="1417"/>
        <v>0</v>
      </c>
      <c r="BU267" s="65">
        <f t="shared" si="1418"/>
        <v>0</v>
      </c>
      <c r="BV267" s="65">
        <f t="shared" si="1419"/>
        <v>0</v>
      </c>
      <c r="BW267" s="65">
        <f t="shared" si="1420"/>
        <v>0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</row>
    <row r="268" spans="1:85" ht="15.75" customHeight="1">
      <c r="A268" s="173" t="s">
        <v>416</v>
      </c>
      <c r="B268" s="121" t="s">
        <v>417</v>
      </c>
      <c r="C268" s="68" t="s">
        <v>265</v>
      </c>
      <c r="D268" s="281" t="s">
        <v>418</v>
      </c>
      <c r="E268" s="57">
        <v>0</v>
      </c>
      <c r="F268" s="57">
        <v>0</v>
      </c>
      <c r="G268" s="58">
        <v>0</v>
      </c>
      <c r="H268" s="57">
        <v>0</v>
      </c>
      <c r="I268" s="59">
        <f t="shared" si="732"/>
        <v>0</v>
      </c>
      <c r="J268" s="59">
        <f t="shared" si="733"/>
        <v>0</v>
      </c>
      <c r="K268" s="74">
        <v>0</v>
      </c>
      <c r="L268" s="279">
        <v>5070</v>
      </c>
      <c r="M268" s="74">
        <v>0</v>
      </c>
      <c r="N268" s="74">
        <f>45630</f>
        <v>45630</v>
      </c>
      <c r="O268" s="61">
        <f t="shared" ref="O268:Q268" si="1427">AA268+AD268+AG268+AJ268+AM268+AP268+AS268+AV268+AY268+BB268+BE268+BH268</f>
        <v>0</v>
      </c>
      <c r="P268" s="61">
        <f t="shared" si="1427"/>
        <v>5070</v>
      </c>
      <c r="Q268" s="61">
        <f t="shared" si="1427"/>
        <v>45630</v>
      </c>
      <c r="R268" s="61">
        <f t="shared" ref="R268:T268" si="1428">IF(BK268=0,SUM(AA268+AD268+AG268+AJ268+AM268+AP268+AS268+AV268+AY268+BB268+BE268+BH268),BK268)</f>
        <v>0</v>
      </c>
      <c r="S268" s="61">
        <f t="shared" si="1428"/>
        <v>5070</v>
      </c>
      <c r="T268" s="61">
        <f t="shared" si="1428"/>
        <v>45630</v>
      </c>
      <c r="U268" s="63">
        <f t="shared" si="1407"/>
        <v>0</v>
      </c>
      <c r="V268" s="63">
        <f t="shared" si="1408"/>
        <v>0</v>
      </c>
      <c r="W268" s="63">
        <f t="shared" si="1409"/>
        <v>0</v>
      </c>
      <c r="X268" s="64">
        <f t="shared" ref="X268:Y268" si="1429">IF(O268&gt;0,O268/K268,0)</f>
        <v>0</v>
      </c>
      <c r="Y268" s="64">
        <f t="shared" si="1429"/>
        <v>1</v>
      </c>
      <c r="Z268" s="64">
        <f t="shared" si="1014"/>
        <v>1</v>
      </c>
      <c r="AA268" s="65"/>
      <c r="AB268" s="100">
        <v>5070</v>
      </c>
      <c r="AC268" s="65"/>
      <c r="AD268" s="65"/>
      <c r="AE268" s="66"/>
      <c r="AF268" s="66"/>
      <c r="AG268" s="66"/>
      <c r="AH268" s="66"/>
      <c r="AI268" s="65"/>
      <c r="AJ268" s="65"/>
      <c r="AK268" s="65"/>
      <c r="AL268" s="65"/>
      <c r="AM268" s="65"/>
      <c r="AN268" s="65"/>
      <c r="AO268" s="100">
        <v>45630</v>
      </c>
      <c r="AP268" s="65"/>
      <c r="AQ268" s="65"/>
      <c r="AR268" s="65"/>
      <c r="AS268" s="65"/>
      <c r="AT268" s="65"/>
      <c r="AU268" s="65"/>
      <c r="AV268" s="65"/>
      <c r="AW268" s="65"/>
      <c r="AX268" s="65"/>
      <c r="AY268" s="65"/>
      <c r="AZ268" s="65"/>
      <c r="BA268" s="65"/>
      <c r="BB268" s="65"/>
      <c r="BC268" s="65"/>
      <c r="BD268" s="65"/>
      <c r="BE268" s="65"/>
      <c r="BF268" s="65"/>
      <c r="BG268" s="65"/>
      <c r="BH268" s="237"/>
      <c r="BI268" s="237"/>
      <c r="BJ268" s="237"/>
      <c r="BK268" s="65">
        <v>0</v>
      </c>
      <c r="BL268" s="65">
        <v>0</v>
      </c>
      <c r="BM268" s="65">
        <v>0</v>
      </c>
      <c r="BN268" s="65">
        <f t="shared" si="1411"/>
        <v>0</v>
      </c>
      <c r="BO268" s="67">
        <f t="shared" si="1412"/>
        <v>45630</v>
      </c>
      <c r="BP268" s="65">
        <f t="shared" si="1413"/>
        <v>45630</v>
      </c>
      <c r="BQ268" s="65">
        <f t="shared" si="1414"/>
        <v>0</v>
      </c>
      <c r="BR268" s="65">
        <f t="shared" si="1415"/>
        <v>0</v>
      </c>
      <c r="BS268" s="65">
        <f t="shared" si="1416"/>
        <v>0</v>
      </c>
      <c r="BT268" s="65">
        <f t="shared" si="1417"/>
        <v>0</v>
      </c>
      <c r="BU268" s="65">
        <f t="shared" si="1418"/>
        <v>45630</v>
      </c>
      <c r="BV268" s="65">
        <f t="shared" si="1419"/>
        <v>0</v>
      </c>
      <c r="BW268" s="65">
        <f t="shared" si="1420"/>
        <v>45630</v>
      </c>
      <c r="BX268" s="6"/>
      <c r="BY268" s="6"/>
      <c r="BZ268" s="6"/>
      <c r="CA268" s="6"/>
      <c r="CB268" s="6"/>
      <c r="CC268" s="6"/>
      <c r="CD268" s="6"/>
      <c r="CE268" s="6"/>
      <c r="CF268" s="6"/>
      <c r="CG268" s="6"/>
    </row>
    <row r="269" spans="1:85" ht="15.75" customHeight="1">
      <c r="A269" s="121"/>
      <c r="B269" s="121" t="s">
        <v>419</v>
      </c>
      <c r="C269" s="68" t="s">
        <v>265</v>
      </c>
      <c r="D269" s="243" t="s">
        <v>420</v>
      </c>
      <c r="E269" s="57">
        <v>0</v>
      </c>
      <c r="F269" s="57">
        <v>0</v>
      </c>
      <c r="G269" s="58">
        <v>0</v>
      </c>
      <c r="H269" s="57">
        <v>0</v>
      </c>
      <c r="I269" s="59">
        <f t="shared" si="732"/>
        <v>0</v>
      </c>
      <c r="J269" s="59">
        <f t="shared" si="733"/>
        <v>0</v>
      </c>
      <c r="K269" s="74">
        <v>0</v>
      </c>
      <c r="L269" s="279">
        <v>6390</v>
      </c>
      <c r="M269" s="74">
        <v>0</v>
      </c>
      <c r="N269" s="74">
        <v>0</v>
      </c>
      <c r="O269" s="61">
        <f t="shared" ref="O269:Q269" si="1430">AA269+AD269+AG269+AJ269+AM269+AP269+AS269+AV269+AY269+BB269+BE269+BH269</f>
        <v>0</v>
      </c>
      <c r="P269" s="61">
        <f t="shared" si="1430"/>
        <v>6390</v>
      </c>
      <c r="Q269" s="61">
        <f t="shared" si="1430"/>
        <v>0</v>
      </c>
      <c r="R269" s="61">
        <f t="shared" ref="R269:T269" si="1431">IF(BK269=0,SUM(AA269+AD269+AG269+AJ269+AM269+AP269+AS269+AV269+AY269+BB269+BE269+BH269),BK269)</f>
        <v>0</v>
      </c>
      <c r="S269" s="61">
        <f t="shared" si="1431"/>
        <v>6390</v>
      </c>
      <c r="T269" s="61">
        <f t="shared" si="1431"/>
        <v>0</v>
      </c>
      <c r="U269" s="63">
        <f t="shared" si="1407"/>
        <v>0</v>
      </c>
      <c r="V269" s="63">
        <f t="shared" si="1408"/>
        <v>0</v>
      </c>
      <c r="W269" s="63">
        <f t="shared" si="1409"/>
        <v>0</v>
      </c>
      <c r="X269" s="64">
        <f t="shared" ref="X269:Y269" si="1432">IF(O269&gt;0,O269/K269,0)</f>
        <v>0</v>
      </c>
      <c r="Y269" s="64">
        <f t="shared" si="1432"/>
        <v>1</v>
      </c>
      <c r="Z269" s="64">
        <f t="shared" si="1014"/>
        <v>0</v>
      </c>
      <c r="AA269" s="65"/>
      <c r="AB269" s="100">
        <v>6390</v>
      </c>
      <c r="AC269" s="65"/>
      <c r="AD269" s="65"/>
      <c r="AE269" s="66"/>
      <c r="AF269" s="66"/>
      <c r="AG269" s="66"/>
      <c r="AH269" s="66"/>
      <c r="AI269" s="65"/>
      <c r="AJ269" s="65"/>
      <c r="AK269" s="65"/>
      <c r="AL269" s="65"/>
      <c r="AM269" s="65"/>
      <c r="AN269" s="65"/>
      <c r="AO269" s="65"/>
      <c r="AP269" s="65"/>
      <c r="AQ269" s="65"/>
      <c r="AR269" s="65"/>
      <c r="AS269" s="65"/>
      <c r="AT269" s="65"/>
      <c r="AU269" s="65"/>
      <c r="AV269" s="65"/>
      <c r="AW269" s="65"/>
      <c r="AX269" s="65"/>
      <c r="AY269" s="65"/>
      <c r="AZ269" s="65"/>
      <c r="BA269" s="65"/>
      <c r="BB269" s="65"/>
      <c r="BC269" s="65"/>
      <c r="BD269" s="65"/>
      <c r="BE269" s="65"/>
      <c r="BF269" s="65"/>
      <c r="BG269" s="65"/>
      <c r="BH269" s="237"/>
      <c r="BI269" s="237"/>
      <c r="BJ269" s="237"/>
      <c r="BK269" s="65">
        <v>0</v>
      </c>
      <c r="BL269" s="65">
        <v>0</v>
      </c>
      <c r="BM269" s="65">
        <v>0</v>
      </c>
      <c r="BN269" s="65">
        <f t="shared" si="1411"/>
        <v>0</v>
      </c>
      <c r="BO269" s="67">
        <f t="shared" si="1412"/>
        <v>0</v>
      </c>
      <c r="BP269" s="65">
        <f t="shared" si="1413"/>
        <v>0</v>
      </c>
      <c r="BQ269" s="65">
        <f t="shared" si="1414"/>
        <v>0</v>
      </c>
      <c r="BR269" s="65">
        <f t="shared" si="1415"/>
        <v>0</v>
      </c>
      <c r="BS269" s="65">
        <f t="shared" si="1416"/>
        <v>0</v>
      </c>
      <c r="BT269" s="65">
        <f t="shared" si="1417"/>
        <v>0</v>
      </c>
      <c r="BU269" s="65">
        <f t="shared" si="1418"/>
        <v>0</v>
      </c>
      <c r="BV269" s="65">
        <f t="shared" si="1419"/>
        <v>0</v>
      </c>
      <c r="BW269" s="65">
        <f t="shared" si="1420"/>
        <v>0</v>
      </c>
      <c r="BX269" s="6"/>
      <c r="BY269" s="6"/>
      <c r="BZ269" s="6"/>
      <c r="CA269" s="6"/>
      <c r="CB269" s="6"/>
      <c r="CC269" s="6"/>
      <c r="CD269" s="6"/>
      <c r="CE269" s="6"/>
      <c r="CF269" s="6"/>
      <c r="CG269" s="6"/>
    </row>
    <row r="270" spans="1:85" ht="15.75" customHeight="1">
      <c r="A270" s="285"/>
      <c r="B270" s="286"/>
      <c r="C270" s="287"/>
      <c r="D270" s="288"/>
      <c r="E270" s="228"/>
      <c r="F270" s="289"/>
      <c r="G270" s="289"/>
      <c r="H270" s="289"/>
      <c r="I270" s="229"/>
      <c r="J270" s="229"/>
      <c r="K270" s="289"/>
      <c r="L270" s="290"/>
      <c r="M270" s="290"/>
      <c r="N270" s="289"/>
      <c r="O270" s="290"/>
      <c r="P270" s="290"/>
      <c r="Q270" s="290"/>
      <c r="R270" s="290"/>
      <c r="S270" s="290"/>
      <c r="T270" s="290"/>
      <c r="U270" s="289"/>
      <c r="V270" s="289"/>
      <c r="W270" s="289"/>
      <c r="X270" s="231"/>
      <c r="Y270" s="231"/>
      <c r="Z270" s="231"/>
      <c r="AA270" s="290"/>
      <c r="AB270" s="290"/>
      <c r="AC270" s="290"/>
      <c r="AD270" s="290"/>
      <c r="AE270" s="290"/>
      <c r="AF270" s="290"/>
      <c r="AG270" s="290"/>
      <c r="AH270" s="290"/>
      <c r="AI270" s="290"/>
      <c r="AJ270" s="290"/>
      <c r="AK270" s="290"/>
      <c r="AL270" s="290"/>
      <c r="AM270" s="290"/>
      <c r="AN270" s="290"/>
      <c r="AO270" s="290"/>
      <c r="AP270" s="290"/>
      <c r="AQ270" s="290"/>
      <c r="AR270" s="290"/>
      <c r="AS270" s="290"/>
      <c r="AT270" s="290"/>
      <c r="AU270" s="290"/>
      <c r="AV270" s="290"/>
      <c r="AW270" s="290"/>
      <c r="AX270" s="290"/>
      <c r="AY270" s="290"/>
      <c r="AZ270" s="290"/>
      <c r="BA270" s="290"/>
      <c r="BB270" s="290"/>
      <c r="BC270" s="290"/>
      <c r="BD270" s="290"/>
      <c r="BE270" s="290"/>
      <c r="BF270" s="290"/>
      <c r="BG270" s="290"/>
      <c r="BH270" s="290"/>
      <c r="BI270" s="290"/>
      <c r="BJ270" s="290"/>
      <c r="BK270" s="290"/>
      <c r="BL270" s="290"/>
      <c r="BM270" s="290"/>
      <c r="BN270" s="290"/>
      <c r="BO270" s="290"/>
      <c r="BP270" s="290"/>
      <c r="BQ270" s="290"/>
      <c r="BR270" s="290"/>
      <c r="BS270" s="290"/>
      <c r="BT270" s="290"/>
      <c r="BU270" s="290"/>
      <c r="BV270" s="290"/>
      <c r="BW270" s="290"/>
      <c r="BX270" s="6"/>
      <c r="BY270" s="6"/>
      <c r="BZ270" s="6"/>
      <c r="CA270" s="6"/>
      <c r="CB270" s="6"/>
      <c r="CC270" s="6"/>
      <c r="CD270" s="6"/>
      <c r="CE270" s="6"/>
      <c r="CF270" s="6"/>
      <c r="CG270" s="6"/>
    </row>
    <row r="271" spans="1:85" ht="15.75" customHeight="1">
      <c r="A271" s="291" t="s">
        <v>421</v>
      </c>
      <c r="B271" s="292" t="s">
        <v>422</v>
      </c>
      <c r="C271" s="293"/>
      <c r="D271" s="294"/>
      <c r="E271" s="31">
        <f t="shared" ref="E271:H271" si="1433">E272+E384</f>
        <v>503059.22</v>
      </c>
      <c r="F271" s="31">
        <f t="shared" si="1433"/>
        <v>0</v>
      </c>
      <c r="G271" s="31">
        <f t="shared" si="1433"/>
        <v>503059.22</v>
      </c>
      <c r="H271" s="31">
        <f t="shared" si="1433"/>
        <v>4797160.5100000007</v>
      </c>
      <c r="I271" s="94">
        <f>IF(G271&gt;0,K271/G271,0)</f>
        <v>0.11300896144990644</v>
      </c>
      <c r="J271" s="94">
        <f>IF(G271&gt;0,O271/G271,0)</f>
        <v>3.6364267411697578E-2</v>
      </c>
      <c r="K271" s="33">
        <f t="shared" ref="K271:W271" si="1434">K272+K384</f>
        <v>56850.2</v>
      </c>
      <c r="L271" s="33">
        <f t="shared" si="1434"/>
        <v>472464.08999999991</v>
      </c>
      <c r="M271" s="33">
        <f t="shared" si="1434"/>
        <v>0</v>
      </c>
      <c r="N271" s="33">
        <f t="shared" si="1434"/>
        <v>2539766.5499999998</v>
      </c>
      <c r="O271" s="33">
        <f t="shared" si="1434"/>
        <v>18293.38</v>
      </c>
      <c r="P271" s="33">
        <f t="shared" si="1434"/>
        <v>343008.61</v>
      </c>
      <c r="Q271" s="33">
        <f t="shared" si="1434"/>
        <v>885278.39999999991</v>
      </c>
      <c r="R271" s="33">
        <f t="shared" si="1434"/>
        <v>18293.38</v>
      </c>
      <c r="S271" s="33">
        <f t="shared" si="1434"/>
        <v>343008.61</v>
      </c>
      <c r="T271" s="33">
        <f t="shared" si="1434"/>
        <v>885278.39999999991</v>
      </c>
      <c r="U271" s="33">
        <f t="shared" si="1434"/>
        <v>38556.820000000007</v>
      </c>
      <c r="V271" s="33">
        <f t="shared" si="1434"/>
        <v>129455.48</v>
      </c>
      <c r="W271" s="33">
        <f t="shared" si="1434"/>
        <v>1654488.15</v>
      </c>
      <c r="X271" s="32">
        <f t="shared" ref="X271:Y271" si="1435">IF(O271&gt;0,O271/K271,0)</f>
        <v>0.3217821573187078</v>
      </c>
      <c r="Y271" s="32">
        <f t="shared" si="1435"/>
        <v>0.72599932409677959</v>
      </c>
      <c r="Z271" s="32">
        <f t="shared" ref="Z271:Z278" si="1436">IF(Q271&gt;0,Q271/N271,0)</f>
        <v>0.34856683973572294</v>
      </c>
      <c r="AA271" s="33">
        <f t="shared" ref="AA271:BW271" si="1437">AA272+AA384</f>
        <v>0</v>
      </c>
      <c r="AB271" s="33">
        <f t="shared" si="1437"/>
        <v>6079.6</v>
      </c>
      <c r="AC271" s="33">
        <f t="shared" si="1437"/>
        <v>0</v>
      </c>
      <c r="AD271" s="33">
        <f t="shared" si="1437"/>
        <v>0</v>
      </c>
      <c r="AE271" s="33">
        <f t="shared" si="1437"/>
        <v>42115.86</v>
      </c>
      <c r="AF271" s="33">
        <f t="shared" si="1437"/>
        <v>94301.75</v>
      </c>
      <c r="AG271" s="33">
        <f t="shared" si="1437"/>
        <v>560.16</v>
      </c>
      <c r="AH271" s="33">
        <f t="shared" si="1437"/>
        <v>102785.34</v>
      </c>
      <c r="AI271" s="33">
        <f t="shared" si="1437"/>
        <v>150979.57</v>
      </c>
      <c r="AJ271" s="33">
        <f t="shared" si="1437"/>
        <v>665</v>
      </c>
      <c r="AK271" s="33">
        <f t="shared" si="1437"/>
        <v>101877.82</v>
      </c>
      <c r="AL271" s="33">
        <f t="shared" si="1437"/>
        <v>183221.65</v>
      </c>
      <c r="AM271" s="33">
        <f t="shared" si="1437"/>
        <v>2584.81</v>
      </c>
      <c r="AN271" s="33">
        <f t="shared" si="1437"/>
        <v>62627.989999999991</v>
      </c>
      <c r="AO271" s="33">
        <f t="shared" si="1437"/>
        <v>189665.01</v>
      </c>
      <c r="AP271" s="33">
        <f t="shared" si="1437"/>
        <v>14483.41</v>
      </c>
      <c r="AQ271" s="33">
        <f t="shared" si="1437"/>
        <v>27522</v>
      </c>
      <c r="AR271" s="33">
        <f t="shared" si="1437"/>
        <v>267110.42000000004</v>
      </c>
      <c r="AS271" s="33">
        <f t="shared" si="1437"/>
        <v>0</v>
      </c>
      <c r="AT271" s="33">
        <f t="shared" si="1437"/>
        <v>0</v>
      </c>
      <c r="AU271" s="33">
        <f t="shared" si="1437"/>
        <v>0</v>
      </c>
      <c r="AV271" s="33">
        <f t="shared" si="1437"/>
        <v>0</v>
      </c>
      <c r="AW271" s="33">
        <f t="shared" si="1437"/>
        <v>0</v>
      </c>
      <c r="AX271" s="33">
        <f t="shared" si="1437"/>
        <v>0</v>
      </c>
      <c r="AY271" s="33">
        <f t="shared" si="1437"/>
        <v>0</v>
      </c>
      <c r="AZ271" s="33">
        <f t="shared" si="1437"/>
        <v>0</v>
      </c>
      <c r="BA271" s="33">
        <f t="shared" si="1437"/>
        <v>0</v>
      </c>
      <c r="BB271" s="33">
        <f t="shared" si="1437"/>
        <v>0</v>
      </c>
      <c r="BC271" s="33">
        <f t="shared" si="1437"/>
        <v>0</v>
      </c>
      <c r="BD271" s="33">
        <f t="shared" si="1437"/>
        <v>0</v>
      </c>
      <c r="BE271" s="33">
        <f t="shared" si="1437"/>
        <v>0</v>
      </c>
      <c r="BF271" s="33">
        <f t="shared" si="1437"/>
        <v>0</v>
      </c>
      <c r="BG271" s="33">
        <f t="shared" si="1437"/>
        <v>0</v>
      </c>
      <c r="BH271" s="33">
        <f t="shared" si="1437"/>
        <v>0</v>
      </c>
      <c r="BI271" s="33">
        <f t="shared" si="1437"/>
        <v>0</v>
      </c>
      <c r="BJ271" s="33">
        <f t="shared" si="1437"/>
        <v>0</v>
      </c>
      <c r="BK271" s="33">
        <f t="shared" si="1437"/>
        <v>0</v>
      </c>
      <c r="BL271" s="33">
        <f t="shared" si="1437"/>
        <v>0</v>
      </c>
      <c r="BM271" s="33">
        <f t="shared" si="1437"/>
        <v>0</v>
      </c>
      <c r="BN271" s="33">
        <f t="shared" si="1437"/>
        <v>18293.38</v>
      </c>
      <c r="BO271" s="33">
        <f t="shared" si="1437"/>
        <v>876237.11</v>
      </c>
      <c r="BP271" s="33">
        <f t="shared" si="1437"/>
        <v>894530.49</v>
      </c>
      <c r="BQ271" s="33">
        <f t="shared" si="1437"/>
        <v>38556.820000000007</v>
      </c>
      <c r="BR271" s="33">
        <f t="shared" si="1437"/>
        <v>1592209.44</v>
      </c>
      <c r="BS271" s="33">
        <f t="shared" si="1437"/>
        <v>1630766.26</v>
      </c>
      <c r="BT271" s="33">
        <f t="shared" si="1437"/>
        <v>129455.48</v>
      </c>
      <c r="BU271" s="33">
        <f t="shared" si="1437"/>
        <v>894530.49</v>
      </c>
      <c r="BV271" s="33">
        <f t="shared" si="1437"/>
        <v>1630766.26</v>
      </c>
      <c r="BW271" s="33">
        <f t="shared" si="1437"/>
        <v>2654752.23</v>
      </c>
      <c r="BX271" s="6"/>
      <c r="BY271" s="6"/>
      <c r="BZ271" s="6"/>
      <c r="CA271" s="6"/>
      <c r="CB271" s="6"/>
      <c r="CC271" s="6"/>
      <c r="CD271" s="6"/>
      <c r="CE271" s="6"/>
      <c r="CF271" s="6"/>
      <c r="CG271" s="6"/>
    </row>
    <row r="272" spans="1:85" ht="15.75" customHeight="1">
      <c r="A272" s="248"/>
      <c r="B272" s="249"/>
      <c r="C272" s="250"/>
      <c r="D272" s="295" t="s">
        <v>423</v>
      </c>
      <c r="E272" s="38">
        <f t="shared" ref="E272:H272" si="1438">E273+E311+E319+E324+E328+E359</f>
        <v>309019.74</v>
      </c>
      <c r="F272" s="38">
        <f t="shared" si="1438"/>
        <v>0</v>
      </c>
      <c r="G272" s="38">
        <f t="shared" si="1438"/>
        <v>309019.74</v>
      </c>
      <c r="H272" s="38">
        <f t="shared" si="1438"/>
        <v>253000</v>
      </c>
      <c r="I272" s="39"/>
      <c r="J272" s="39"/>
      <c r="K272" s="38">
        <f t="shared" ref="K272:W272" si="1439">K273+K311+K319+K324+K328+K359</f>
        <v>56850.2</v>
      </c>
      <c r="L272" s="38">
        <f t="shared" si="1439"/>
        <v>92671.489999999991</v>
      </c>
      <c r="M272" s="38">
        <f t="shared" si="1439"/>
        <v>0</v>
      </c>
      <c r="N272" s="38">
        <f t="shared" si="1439"/>
        <v>0</v>
      </c>
      <c r="O272" s="38">
        <f t="shared" si="1439"/>
        <v>18293.38</v>
      </c>
      <c r="P272" s="38">
        <f t="shared" si="1439"/>
        <v>13890.51</v>
      </c>
      <c r="Q272" s="38">
        <f t="shared" si="1439"/>
        <v>0</v>
      </c>
      <c r="R272" s="38">
        <f t="shared" si="1439"/>
        <v>18293.38</v>
      </c>
      <c r="S272" s="38">
        <f t="shared" si="1439"/>
        <v>13890.51</v>
      </c>
      <c r="T272" s="38">
        <f t="shared" si="1439"/>
        <v>0</v>
      </c>
      <c r="U272" s="38">
        <f t="shared" si="1439"/>
        <v>38556.820000000007</v>
      </c>
      <c r="V272" s="38">
        <f t="shared" si="1439"/>
        <v>78780.98</v>
      </c>
      <c r="W272" s="38">
        <f t="shared" si="1439"/>
        <v>0</v>
      </c>
      <c r="X272" s="40">
        <f t="shared" ref="X272:Y272" si="1440">IF(O272&gt;0,O272/K272,0)</f>
        <v>0.3217821573187078</v>
      </c>
      <c r="Y272" s="40">
        <f t="shared" si="1440"/>
        <v>0.14988978811066922</v>
      </c>
      <c r="Z272" s="40">
        <f t="shared" si="1436"/>
        <v>0</v>
      </c>
      <c r="AA272" s="38">
        <f t="shared" ref="AA272:BW272" si="1441">AA273+AA311+AA319+AA324+AA328+AA359</f>
        <v>0</v>
      </c>
      <c r="AB272" s="38">
        <f t="shared" si="1441"/>
        <v>0</v>
      </c>
      <c r="AC272" s="38">
        <f t="shared" si="1441"/>
        <v>0</v>
      </c>
      <c r="AD272" s="38">
        <f t="shared" si="1441"/>
        <v>0</v>
      </c>
      <c r="AE272" s="38">
        <f t="shared" si="1441"/>
        <v>460.62</v>
      </c>
      <c r="AF272" s="38">
        <f t="shared" si="1441"/>
        <v>0</v>
      </c>
      <c r="AG272" s="38">
        <f t="shared" si="1441"/>
        <v>560.16</v>
      </c>
      <c r="AH272" s="38">
        <f t="shared" si="1441"/>
        <v>8488.1200000000008</v>
      </c>
      <c r="AI272" s="38">
        <f t="shared" si="1441"/>
        <v>0</v>
      </c>
      <c r="AJ272" s="38">
        <f t="shared" si="1441"/>
        <v>665</v>
      </c>
      <c r="AK272" s="38">
        <f t="shared" si="1441"/>
        <v>4896.6899999999996</v>
      </c>
      <c r="AL272" s="38">
        <f t="shared" si="1441"/>
        <v>0</v>
      </c>
      <c r="AM272" s="38">
        <f t="shared" si="1441"/>
        <v>2584.81</v>
      </c>
      <c r="AN272" s="38">
        <f t="shared" si="1441"/>
        <v>45.08</v>
      </c>
      <c r="AO272" s="38">
        <f t="shared" si="1441"/>
        <v>0</v>
      </c>
      <c r="AP272" s="38">
        <f t="shared" si="1441"/>
        <v>14483.41</v>
      </c>
      <c r="AQ272" s="38">
        <f t="shared" si="1441"/>
        <v>0</v>
      </c>
      <c r="AR272" s="38">
        <f t="shared" si="1441"/>
        <v>0</v>
      </c>
      <c r="AS272" s="38">
        <f t="shared" si="1441"/>
        <v>0</v>
      </c>
      <c r="AT272" s="38">
        <f t="shared" si="1441"/>
        <v>0</v>
      </c>
      <c r="AU272" s="38">
        <f t="shared" si="1441"/>
        <v>0</v>
      </c>
      <c r="AV272" s="38">
        <f t="shared" si="1441"/>
        <v>0</v>
      </c>
      <c r="AW272" s="38">
        <f t="shared" si="1441"/>
        <v>0</v>
      </c>
      <c r="AX272" s="38">
        <f t="shared" si="1441"/>
        <v>0</v>
      </c>
      <c r="AY272" s="38">
        <f t="shared" si="1441"/>
        <v>0</v>
      </c>
      <c r="AZ272" s="38">
        <f t="shared" si="1441"/>
        <v>0</v>
      </c>
      <c r="BA272" s="38">
        <f t="shared" si="1441"/>
        <v>0</v>
      </c>
      <c r="BB272" s="38">
        <f t="shared" si="1441"/>
        <v>0</v>
      </c>
      <c r="BC272" s="38">
        <f t="shared" si="1441"/>
        <v>0</v>
      </c>
      <c r="BD272" s="38">
        <f t="shared" si="1441"/>
        <v>0</v>
      </c>
      <c r="BE272" s="38">
        <f t="shared" si="1441"/>
        <v>0</v>
      </c>
      <c r="BF272" s="38">
        <f t="shared" si="1441"/>
        <v>0</v>
      </c>
      <c r="BG272" s="38">
        <f t="shared" si="1441"/>
        <v>0</v>
      </c>
      <c r="BH272" s="38">
        <f t="shared" si="1441"/>
        <v>0</v>
      </c>
      <c r="BI272" s="38">
        <f t="shared" si="1441"/>
        <v>0</v>
      </c>
      <c r="BJ272" s="38">
        <f t="shared" si="1441"/>
        <v>0</v>
      </c>
      <c r="BK272" s="38">
        <f t="shared" si="1441"/>
        <v>0</v>
      </c>
      <c r="BL272" s="38">
        <f t="shared" si="1441"/>
        <v>0</v>
      </c>
      <c r="BM272" s="38">
        <f t="shared" si="1441"/>
        <v>0</v>
      </c>
      <c r="BN272" s="38">
        <f t="shared" si="1441"/>
        <v>18293.38</v>
      </c>
      <c r="BO272" s="38">
        <f t="shared" si="1441"/>
        <v>0</v>
      </c>
      <c r="BP272" s="38">
        <f t="shared" si="1441"/>
        <v>18293.38</v>
      </c>
      <c r="BQ272" s="38">
        <f t="shared" si="1441"/>
        <v>38556.820000000007</v>
      </c>
      <c r="BR272" s="38">
        <f t="shared" si="1441"/>
        <v>0</v>
      </c>
      <c r="BS272" s="38">
        <f t="shared" si="1441"/>
        <v>38556.820000000007</v>
      </c>
      <c r="BT272" s="38">
        <f t="shared" si="1441"/>
        <v>78780.98</v>
      </c>
      <c r="BU272" s="38">
        <f t="shared" si="1441"/>
        <v>18293.38</v>
      </c>
      <c r="BV272" s="38">
        <f t="shared" si="1441"/>
        <v>38556.820000000007</v>
      </c>
      <c r="BW272" s="38">
        <f t="shared" si="1441"/>
        <v>135631.18</v>
      </c>
      <c r="BX272" s="6"/>
      <c r="BY272" s="6"/>
      <c r="BZ272" s="6"/>
      <c r="CA272" s="6"/>
      <c r="CB272" s="6"/>
      <c r="CC272" s="6"/>
      <c r="CD272" s="6"/>
      <c r="CE272" s="6"/>
      <c r="CF272" s="6"/>
      <c r="CG272" s="6"/>
    </row>
    <row r="273" spans="1:85" ht="15.75" customHeight="1">
      <c r="A273" s="34"/>
      <c r="B273" s="35"/>
      <c r="C273" s="36"/>
      <c r="D273" s="37" t="s">
        <v>66</v>
      </c>
      <c r="E273" s="38">
        <f t="shared" ref="E273:H273" si="1442">E274+E279+E282+E290+E292+E295+E304+E306+E308</f>
        <v>92000</v>
      </c>
      <c r="F273" s="38">
        <f t="shared" si="1442"/>
        <v>0</v>
      </c>
      <c r="G273" s="38">
        <f t="shared" si="1442"/>
        <v>92000</v>
      </c>
      <c r="H273" s="38">
        <f t="shared" si="1442"/>
        <v>0</v>
      </c>
      <c r="I273" s="39">
        <f t="shared" ref="I273:I278" si="1443">IF(G273&gt;0,K273/G273,0)</f>
        <v>0.19619782608695652</v>
      </c>
      <c r="J273" s="39">
        <f t="shared" ref="J273:J278" si="1444">IF(G273&gt;0,O273/G273,0)</f>
        <v>7.5466630434782606E-2</v>
      </c>
      <c r="K273" s="38">
        <f t="shared" ref="K273:W273" si="1445">K274+K279+K282+K290+K292+K295+K304+K306+K308</f>
        <v>18050.2</v>
      </c>
      <c r="L273" s="38">
        <f t="shared" si="1445"/>
        <v>78328.489999999991</v>
      </c>
      <c r="M273" s="38">
        <f t="shared" si="1445"/>
        <v>0</v>
      </c>
      <c r="N273" s="38">
        <f t="shared" si="1445"/>
        <v>0</v>
      </c>
      <c r="O273" s="38">
        <f t="shared" si="1445"/>
        <v>6942.9299999999994</v>
      </c>
      <c r="P273" s="38">
        <f t="shared" si="1445"/>
        <v>2488.5700000000002</v>
      </c>
      <c r="Q273" s="38">
        <f t="shared" si="1445"/>
        <v>0</v>
      </c>
      <c r="R273" s="38">
        <f t="shared" si="1445"/>
        <v>6942.9299999999994</v>
      </c>
      <c r="S273" s="38">
        <f t="shared" si="1445"/>
        <v>2488.5700000000002</v>
      </c>
      <c r="T273" s="38">
        <f t="shared" si="1445"/>
        <v>0</v>
      </c>
      <c r="U273" s="38">
        <f t="shared" si="1445"/>
        <v>11107.27</v>
      </c>
      <c r="V273" s="38">
        <f t="shared" si="1445"/>
        <v>75839.92</v>
      </c>
      <c r="W273" s="38">
        <f t="shared" si="1445"/>
        <v>0</v>
      </c>
      <c r="X273" s="40">
        <f t="shared" ref="X273:Y273" si="1446">IF(O273&gt;0,O273/K273,0)</f>
        <v>0.38464559949474242</v>
      </c>
      <c r="Y273" s="40">
        <f t="shared" si="1446"/>
        <v>3.1770943114057225E-2</v>
      </c>
      <c r="Z273" s="40">
        <f t="shared" si="1436"/>
        <v>0</v>
      </c>
      <c r="AA273" s="38">
        <f t="shared" ref="AA273:BW273" si="1447">AA274+AA279+AA282+AA290+AA292+AA295+AA304+AA306+AA308</f>
        <v>0</v>
      </c>
      <c r="AB273" s="38">
        <f t="shared" si="1447"/>
        <v>0</v>
      </c>
      <c r="AC273" s="38">
        <f t="shared" si="1447"/>
        <v>0</v>
      </c>
      <c r="AD273" s="38">
        <f t="shared" si="1447"/>
        <v>0</v>
      </c>
      <c r="AE273" s="38">
        <f t="shared" si="1447"/>
        <v>460.62</v>
      </c>
      <c r="AF273" s="38">
        <f t="shared" si="1447"/>
        <v>0</v>
      </c>
      <c r="AG273" s="38">
        <f t="shared" si="1447"/>
        <v>409.71</v>
      </c>
      <c r="AH273" s="38">
        <f t="shared" si="1447"/>
        <v>0</v>
      </c>
      <c r="AI273" s="38">
        <f t="shared" si="1447"/>
        <v>0</v>
      </c>
      <c r="AJ273" s="38">
        <f t="shared" si="1447"/>
        <v>665</v>
      </c>
      <c r="AK273" s="38">
        <f t="shared" si="1447"/>
        <v>2027.95</v>
      </c>
      <c r="AL273" s="38">
        <f t="shared" si="1447"/>
        <v>0</v>
      </c>
      <c r="AM273" s="38">
        <f t="shared" si="1447"/>
        <v>2584.81</v>
      </c>
      <c r="AN273" s="38">
        <f t="shared" si="1447"/>
        <v>0</v>
      </c>
      <c r="AO273" s="38">
        <f t="shared" si="1447"/>
        <v>0</v>
      </c>
      <c r="AP273" s="38">
        <f t="shared" si="1447"/>
        <v>3283.41</v>
      </c>
      <c r="AQ273" s="38">
        <f t="shared" si="1447"/>
        <v>0</v>
      </c>
      <c r="AR273" s="38">
        <f t="shared" si="1447"/>
        <v>0</v>
      </c>
      <c r="AS273" s="38">
        <f t="shared" si="1447"/>
        <v>0</v>
      </c>
      <c r="AT273" s="38">
        <f t="shared" si="1447"/>
        <v>0</v>
      </c>
      <c r="AU273" s="38">
        <f t="shared" si="1447"/>
        <v>0</v>
      </c>
      <c r="AV273" s="38">
        <f t="shared" si="1447"/>
        <v>0</v>
      </c>
      <c r="AW273" s="38">
        <f t="shared" si="1447"/>
        <v>0</v>
      </c>
      <c r="AX273" s="38">
        <f t="shared" si="1447"/>
        <v>0</v>
      </c>
      <c r="AY273" s="38">
        <f t="shared" si="1447"/>
        <v>0</v>
      </c>
      <c r="AZ273" s="38">
        <f t="shared" si="1447"/>
        <v>0</v>
      </c>
      <c r="BA273" s="38">
        <f t="shared" si="1447"/>
        <v>0</v>
      </c>
      <c r="BB273" s="38">
        <f t="shared" si="1447"/>
        <v>0</v>
      </c>
      <c r="BC273" s="38">
        <f t="shared" si="1447"/>
        <v>0</v>
      </c>
      <c r="BD273" s="38">
        <f t="shared" si="1447"/>
        <v>0</v>
      </c>
      <c r="BE273" s="38">
        <f t="shared" si="1447"/>
        <v>0</v>
      </c>
      <c r="BF273" s="38">
        <f t="shared" si="1447"/>
        <v>0</v>
      </c>
      <c r="BG273" s="38">
        <f t="shared" si="1447"/>
        <v>0</v>
      </c>
      <c r="BH273" s="38">
        <f t="shared" si="1447"/>
        <v>0</v>
      </c>
      <c r="BI273" s="38">
        <f t="shared" si="1447"/>
        <v>0</v>
      </c>
      <c r="BJ273" s="38">
        <f t="shared" si="1447"/>
        <v>0</v>
      </c>
      <c r="BK273" s="38">
        <f t="shared" si="1447"/>
        <v>0</v>
      </c>
      <c r="BL273" s="38">
        <f t="shared" si="1447"/>
        <v>0</v>
      </c>
      <c r="BM273" s="38">
        <f t="shared" si="1447"/>
        <v>0</v>
      </c>
      <c r="BN273" s="38">
        <f t="shared" si="1447"/>
        <v>6942.9299999999994</v>
      </c>
      <c r="BO273" s="38">
        <f t="shared" si="1447"/>
        <v>0</v>
      </c>
      <c r="BP273" s="38">
        <f t="shared" si="1447"/>
        <v>6942.9299999999994</v>
      </c>
      <c r="BQ273" s="38">
        <f t="shared" si="1447"/>
        <v>11107.27</v>
      </c>
      <c r="BR273" s="38">
        <f t="shared" si="1447"/>
        <v>0</v>
      </c>
      <c r="BS273" s="38">
        <f t="shared" si="1447"/>
        <v>11107.27</v>
      </c>
      <c r="BT273" s="38">
        <f t="shared" si="1447"/>
        <v>75839.92</v>
      </c>
      <c r="BU273" s="38">
        <f t="shared" si="1447"/>
        <v>6942.9299999999994</v>
      </c>
      <c r="BV273" s="38">
        <f t="shared" si="1447"/>
        <v>11107.27</v>
      </c>
      <c r="BW273" s="38">
        <f t="shared" si="1447"/>
        <v>93890.12</v>
      </c>
      <c r="BX273" s="6"/>
      <c r="BY273" s="6"/>
      <c r="BZ273" s="6"/>
      <c r="CA273" s="6"/>
      <c r="CB273" s="6"/>
      <c r="CC273" s="6"/>
      <c r="CD273" s="6"/>
      <c r="CE273" s="6"/>
      <c r="CF273" s="6"/>
      <c r="CG273" s="6"/>
    </row>
    <row r="274" spans="1:85" ht="15.75">
      <c r="A274" s="75"/>
      <c r="B274" s="76"/>
      <c r="C274" s="77"/>
      <c r="D274" s="78" t="s">
        <v>67</v>
      </c>
      <c r="E274" s="45">
        <f t="shared" ref="E274:H274" si="1448">SUM(E275:E278)</f>
        <v>42000</v>
      </c>
      <c r="F274" s="45">
        <f t="shared" si="1448"/>
        <v>0</v>
      </c>
      <c r="G274" s="45">
        <f t="shared" si="1448"/>
        <v>42000</v>
      </c>
      <c r="H274" s="45">
        <f t="shared" si="1448"/>
        <v>0</v>
      </c>
      <c r="I274" s="47">
        <f t="shared" si="1443"/>
        <v>0.14285714285714285</v>
      </c>
      <c r="J274" s="47">
        <f t="shared" si="1444"/>
        <v>0.10607999999999999</v>
      </c>
      <c r="K274" s="45">
        <f t="shared" ref="K274:W274" si="1449">SUM(K275:K278)</f>
        <v>6000</v>
      </c>
      <c r="L274" s="45">
        <f t="shared" si="1449"/>
        <v>0</v>
      </c>
      <c r="M274" s="45">
        <f t="shared" si="1449"/>
        <v>0</v>
      </c>
      <c r="N274" s="45">
        <f t="shared" si="1449"/>
        <v>0</v>
      </c>
      <c r="O274" s="45">
        <f t="shared" si="1449"/>
        <v>4455.3599999999997</v>
      </c>
      <c r="P274" s="45">
        <f t="shared" si="1449"/>
        <v>0</v>
      </c>
      <c r="Q274" s="45">
        <f t="shared" si="1449"/>
        <v>0</v>
      </c>
      <c r="R274" s="45">
        <f t="shared" si="1449"/>
        <v>4455.3599999999997</v>
      </c>
      <c r="S274" s="45">
        <f t="shared" si="1449"/>
        <v>0</v>
      </c>
      <c r="T274" s="45">
        <f t="shared" si="1449"/>
        <v>0</v>
      </c>
      <c r="U274" s="45">
        <f t="shared" si="1449"/>
        <v>1544.6399999999999</v>
      </c>
      <c r="V274" s="45">
        <f t="shared" si="1449"/>
        <v>0</v>
      </c>
      <c r="W274" s="45">
        <f t="shared" si="1449"/>
        <v>0</v>
      </c>
      <c r="X274" s="50">
        <f t="shared" ref="X274:Y274" si="1450">IF(O274&gt;0,O274/K274,0)</f>
        <v>0.74256</v>
      </c>
      <c r="Y274" s="50">
        <f t="shared" si="1450"/>
        <v>0</v>
      </c>
      <c r="Z274" s="50">
        <f t="shared" si="1436"/>
        <v>0</v>
      </c>
      <c r="AA274" s="45">
        <f t="shared" ref="AA274:BW274" si="1451">SUM(AA275:AA278)</f>
        <v>0</v>
      </c>
      <c r="AB274" s="45">
        <f t="shared" si="1451"/>
        <v>0</v>
      </c>
      <c r="AC274" s="45">
        <f t="shared" si="1451"/>
        <v>0</v>
      </c>
      <c r="AD274" s="45">
        <f t="shared" si="1451"/>
        <v>0</v>
      </c>
      <c r="AE274" s="45">
        <f t="shared" si="1451"/>
        <v>0</v>
      </c>
      <c r="AF274" s="45">
        <f t="shared" si="1451"/>
        <v>0</v>
      </c>
      <c r="AG274" s="45">
        <f t="shared" si="1451"/>
        <v>409.71</v>
      </c>
      <c r="AH274" s="45">
        <f t="shared" si="1451"/>
        <v>0</v>
      </c>
      <c r="AI274" s="45">
        <f t="shared" si="1451"/>
        <v>0</v>
      </c>
      <c r="AJ274" s="45">
        <f t="shared" si="1451"/>
        <v>0</v>
      </c>
      <c r="AK274" s="45">
        <f t="shared" si="1451"/>
        <v>0</v>
      </c>
      <c r="AL274" s="45">
        <f t="shared" si="1451"/>
        <v>0</v>
      </c>
      <c r="AM274" s="45">
        <f t="shared" si="1451"/>
        <v>762.2399999999999</v>
      </c>
      <c r="AN274" s="45">
        <f t="shared" si="1451"/>
        <v>0</v>
      </c>
      <c r="AO274" s="45">
        <f t="shared" si="1451"/>
        <v>0</v>
      </c>
      <c r="AP274" s="45">
        <f t="shared" si="1451"/>
        <v>3283.41</v>
      </c>
      <c r="AQ274" s="45">
        <f t="shared" si="1451"/>
        <v>0</v>
      </c>
      <c r="AR274" s="45">
        <f t="shared" si="1451"/>
        <v>0</v>
      </c>
      <c r="AS274" s="45">
        <f t="shared" si="1451"/>
        <v>0</v>
      </c>
      <c r="AT274" s="45">
        <f t="shared" si="1451"/>
        <v>0</v>
      </c>
      <c r="AU274" s="45">
        <f t="shared" si="1451"/>
        <v>0</v>
      </c>
      <c r="AV274" s="45">
        <f t="shared" si="1451"/>
        <v>0</v>
      </c>
      <c r="AW274" s="45">
        <f t="shared" si="1451"/>
        <v>0</v>
      </c>
      <c r="AX274" s="45">
        <f t="shared" si="1451"/>
        <v>0</v>
      </c>
      <c r="AY274" s="45">
        <f t="shared" si="1451"/>
        <v>0</v>
      </c>
      <c r="AZ274" s="45">
        <f t="shared" si="1451"/>
        <v>0</v>
      </c>
      <c r="BA274" s="45">
        <f t="shared" si="1451"/>
        <v>0</v>
      </c>
      <c r="BB274" s="45">
        <f t="shared" si="1451"/>
        <v>0</v>
      </c>
      <c r="BC274" s="45">
        <f t="shared" si="1451"/>
        <v>0</v>
      </c>
      <c r="BD274" s="45">
        <f t="shared" si="1451"/>
        <v>0</v>
      </c>
      <c r="BE274" s="45">
        <f t="shared" si="1451"/>
        <v>0</v>
      </c>
      <c r="BF274" s="45">
        <f t="shared" si="1451"/>
        <v>0</v>
      </c>
      <c r="BG274" s="45">
        <f t="shared" si="1451"/>
        <v>0</v>
      </c>
      <c r="BH274" s="45">
        <f t="shared" si="1451"/>
        <v>0</v>
      </c>
      <c r="BI274" s="45">
        <f t="shared" si="1451"/>
        <v>0</v>
      </c>
      <c r="BJ274" s="45">
        <f t="shared" si="1451"/>
        <v>0</v>
      </c>
      <c r="BK274" s="45">
        <f t="shared" si="1451"/>
        <v>0</v>
      </c>
      <c r="BL274" s="45">
        <f t="shared" si="1451"/>
        <v>0</v>
      </c>
      <c r="BM274" s="45">
        <f t="shared" si="1451"/>
        <v>0</v>
      </c>
      <c r="BN274" s="45">
        <f t="shared" si="1451"/>
        <v>4455.3599999999997</v>
      </c>
      <c r="BO274" s="45">
        <f t="shared" si="1451"/>
        <v>0</v>
      </c>
      <c r="BP274" s="45">
        <f t="shared" si="1451"/>
        <v>4455.3599999999997</v>
      </c>
      <c r="BQ274" s="45">
        <f t="shared" si="1451"/>
        <v>1544.6399999999999</v>
      </c>
      <c r="BR274" s="45">
        <f t="shared" si="1451"/>
        <v>0</v>
      </c>
      <c r="BS274" s="45">
        <f t="shared" si="1451"/>
        <v>1544.6399999999999</v>
      </c>
      <c r="BT274" s="45">
        <f t="shared" si="1451"/>
        <v>0</v>
      </c>
      <c r="BU274" s="45">
        <f t="shared" si="1451"/>
        <v>4455.3599999999997</v>
      </c>
      <c r="BV274" s="45">
        <f t="shared" si="1451"/>
        <v>1544.6399999999999</v>
      </c>
      <c r="BW274" s="45">
        <f t="shared" si="1451"/>
        <v>6000</v>
      </c>
      <c r="BX274" s="51"/>
      <c r="BY274" s="51"/>
      <c r="BZ274" s="51"/>
      <c r="CA274" s="51"/>
      <c r="CB274" s="51"/>
      <c r="CC274" s="51"/>
      <c r="CD274" s="51"/>
      <c r="CE274" s="51"/>
      <c r="CF274" s="51"/>
      <c r="CG274" s="51"/>
    </row>
    <row r="275" spans="1:85" ht="15.75" customHeight="1">
      <c r="A275" s="52" t="s">
        <v>424</v>
      </c>
      <c r="B275" s="54"/>
      <c r="C275" s="54" t="s">
        <v>69</v>
      </c>
      <c r="D275" s="205" t="s">
        <v>70</v>
      </c>
      <c r="E275" s="56">
        <f>5000+7000</f>
        <v>12000</v>
      </c>
      <c r="F275" s="57">
        <v>0</v>
      </c>
      <c r="G275" s="58">
        <f t="shared" ref="G275:G278" si="1452">E275-F275</f>
        <v>12000</v>
      </c>
      <c r="H275" s="57">
        <v>0</v>
      </c>
      <c r="I275" s="83">
        <f t="shared" si="1443"/>
        <v>0.41666666666666669</v>
      </c>
      <c r="J275" s="83">
        <f t="shared" si="1444"/>
        <v>0.34620499999999998</v>
      </c>
      <c r="K275" s="74">
        <f>1000+2000+2000</f>
        <v>5000</v>
      </c>
      <c r="L275" s="74">
        <v>0</v>
      </c>
      <c r="M275" s="74">
        <v>0</v>
      </c>
      <c r="N275" s="74">
        <v>0</v>
      </c>
      <c r="O275" s="63">
        <f t="shared" ref="O275:Q275" si="1453">AA275+AD275+AG275+AJ275+AM275+AP275+AS275+AV275+AY275+BB275+BE275+BH275</f>
        <v>4154.46</v>
      </c>
      <c r="P275" s="63">
        <f t="shared" si="1453"/>
        <v>0</v>
      </c>
      <c r="Q275" s="63">
        <f t="shared" si="1453"/>
        <v>0</v>
      </c>
      <c r="R275" s="63">
        <f t="shared" ref="R275:T275" si="1454">IF(BK275=0,SUM(AA275+AD275+AG275+AJ275+AM275+AP275+AS275+AV275+AY275+BB275+BE275+BH275),BK275)</f>
        <v>4154.46</v>
      </c>
      <c r="S275" s="63">
        <f t="shared" si="1454"/>
        <v>0</v>
      </c>
      <c r="T275" s="63">
        <f t="shared" si="1454"/>
        <v>0</v>
      </c>
      <c r="U275" s="62">
        <f t="shared" ref="U275:U278" si="1455">K275-O275</f>
        <v>845.54</v>
      </c>
      <c r="V275" s="63">
        <f t="shared" ref="V275:V278" si="1456">L275-M275-S275</f>
        <v>0</v>
      </c>
      <c r="W275" s="63">
        <f t="shared" ref="W275:W278" si="1457">N275-Q275</f>
        <v>0</v>
      </c>
      <c r="X275" s="84">
        <f t="shared" ref="X275:Y275" si="1458">IF(O275&gt;0,O275/K275,0)</f>
        <v>0.83089199999999996</v>
      </c>
      <c r="Y275" s="84">
        <f t="shared" si="1458"/>
        <v>0</v>
      </c>
      <c r="Z275" s="84">
        <f t="shared" si="1436"/>
        <v>0</v>
      </c>
      <c r="AA275" s="65"/>
      <c r="AB275" s="65"/>
      <c r="AC275" s="65"/>
      <c r="AD275" s="65"/>
      <c r="AE275" s="66"/>
      <c r="AF275" s="66"/>
      <c r="AG275" s="66">
        <f>129.63+129.63+129.63-129.63</f>
        <v>259.26</v>
      </c>
      <c r="AH275" s="66"/>
      <c r="AI275" s="65"/>
      <c r="AJ275" s="65"/>
      <c r="AK275" s="65"/>
      <c r="AL275" s="65"/>
      <c r="AM275" s="65">
        <f>129.63+150.45+120.54+120.54+120.54+120.54</f>
        <v>762.2399999999999</v>
      </c>
      <c r="AN275" s="65"/>
      <c r="AO275" s="65"/>
      <c r="AP275" s="65">
        <f>120.54+963.42+844.5+963.42+120.54+120.54</f>
        <v>3132.96</v>
      </c>
      <c r="AQ275" s="65"/>
      <c r="AR275" s="65"/>
      <c r="AS275" s="65"/>
      <c r="AT275" s="65"/>
      <c r="AU275" s="65"/>
      <c r="AV275" s="65"/>
      <c r="AW275" s="65"/>
      <c r="AX275" s="65"/>
      <c r="AY275" s="65"/>
      <c r="AZ275" s="65"/>
      <c r="BA275" s="65"/>
      <c r="BB275" s="65"/>
      <c r="BC275" s="65"/>
      <c r="BD275" s="65"/>
      <c r="BE275" s="65"/>
      <c r="BF275" s="65"/>
      <c r="BG275" s="65"/>
      <c r="BH275" s="237"/>
      <c r="BI275" s="237"/>
      <c r="BJ275" s="237"/>
      <c r="BK275" s="65">
        <v>0</v>
      </c>
      <c r="BL275" s="65">
        <v>0</v>
      </c>
      <c r="BM275" s="65">
        <v>0</v>
      </c>
      <c r="BN275" s="65">
        <f t="shared" ref="BN275:BN278" si="1459">IF(O275-BK275&gt;0,O275-BK275,0)</f>
        <v>4154.46</v>
      </c>
      <c r="BO275" s="67">
        <f t="shared" ref="BO275:BO278" si="1460">IF(Q275-BM275&gt;0,Q275-BM275,0)</f>
        <v>0</v>
      </c>
      <c r="BP275" s="65">
        <f t="shared" ref="BP275:BP278" si="1461">IF(BN275+BO275&gt;0,BN275+BO275,0)</f>
        <v>4154.46</v>
      </c>
      <c r="BQ275" s="65">
        <f t="shared" ref="BQ275:BQ278" si="1462">IF(U275=0,0,U275)</f>
        <v>845.54</v>
      </c>
      <c r="BR275" s="65">
        <f t="shared" ref="BR275:BR278" si="1463">IF(W275=0,0,W275)</f>
        <v>0</v>
      </c>
      <c r="BS275" s="65">
        <f t="shared" ref="BS275:BS278" si="1464">IF(BQ275+BR275&gt;0,BQ275+BR275,0)</f>
        <v>845.54</v>
      </c>
      <c r="BT275" s="65">
        <f t="shared" ref="BT275:BT278" si="1465">IF(V275&gt;0,V275,0)</f>
        <v>0</v>
      </c>
      <c r="BU275" s="65">
        <f t="shared" ref="BU275:BU278" si="1466">IF(BP275=0,0,BP275)</f>
        <v>4154.46</v>
      </c>
      <c r="BV275" s="65">
        <f t="shared" ref="BV275:BV278" si="1467">IF(BS275=0,0,BS275)</f>
        <v>845.54</v>
      </c>
      <c r="BW275" s="65">
        <f t="shared" ref="BW275:BW278" si="1468">IF(BP275+BT275+BV275&gt;0,BP275+BT275+BV275,0)</f>
        <v>5000</v>
      </c>
      <c r="BX275" s="88"/>
      <c r="BY275" s="88"/>
      <c r="BZ275" s="88"/>
      <c r="CA275" s="88"/>
      <c r="CB275" s="88"/>
      <c r="CC275" s="88"/>
      <c r="CD275" s="88"/>
      <c r="CE275" s="88"/>
      <c r="CF275" s="88"/>
      <c r="CG275" s="88"/>
    </row>
    <row r="276" spans="1:85" ht="15.75" customHeight="1">
      <c r="A276" s="68"/>
      <c r="B276" s="69"/>
      <c r="C276" s="68" t="s">
        <v>169</v>
      </c>
      <c r="D276" s="70" t="s">
        <v>425</v>
      </c>
      <c r="E276" s="56">
        <v>30000</v>
      </c>
      <c r="F276" s="57">
        <v>0</v>
      </c>
      <c r="G276" s="58">
        <f t="shared" si="1452"/>
        <v>30000</v>
      </c>
      <c r="H276" s="57">
        <v>0</v>
      </c>
      <c r="I276" s="59">
        <f t="shared" si="1443"/>
        <v>0</v>
      </c>
      <c r="J276" s="59">
        <f t="shared" si="1444"/>
        <v>0</v>
      </c>
      <c r="K276" s="74">
        <v>0</v>
      </c>
      <c r="L276" s="74">
        <v>0</v>
      </c>
      <c r="M276" s="74">
        <v>0</v>
      </c>
      <c r="N276" s="74">
        <v>0</v>
      </c>
      <c r="O276" s="61">
        <f t="shared" ref="O276:Q276" si="1469">AA276+AD276+AG276+AJ276+AM276+AP276+AS276+AV276+AY276+BB276+BE276+BH276</f>
        <v>0</v>
      </c>
      <c r="P276" s="61">
        <f t="shared" si="1469"/>
        <v>0</v>
      </c>
      <c r="Q276" s="61">
        <f t="shared" si="1469"/>
        <v>0</v>
      </c>
      <c r="R276" s="61">
        <f t="shared" ref="R276:T276" si="1470">IF(BK276=0,SUM(AA276+AD276+AG276+AJ276+AM276+AP276+AS276+AV276+AY276+BB276+BE276+BH276),BK276)</f>
        <v>0</v>
      </c>
      <c r="S276" s="61">
        <f t="shared" si="1470"/>
        <v>0</v>
      </c>
      <c r="T276" s="61">
        <f t="shared" si="1470"/>
        <v>0</v>
      </c>
      <c r="U276" s="63">
        <f t="shared" si="1455"/>
        <v>0</v>
      </c>
      <c r="V276" s="63">
        <f t="shared" si="1456"/>
        <v>0</v>
      </c>
      <c r="W276" s="63">
        <f t="shared" si="1457"/>
        <v>0</v>
      </c>
      <c r="X276" s="64">
        <f t="shared" ref="X276:Y276" si="1471">IF(O276&gt;0,O276/K276,0)</f>
        <v>0</v>
      </c>
      <c r="Y276" s="64">
        <f t="shared" si="1471"/>
        <v>0</v>
      </c>
      <c r="Z276" s="64">
        <f t="shared" si="1436"/>
        <v>0</v>
      </c>
      <c r="AA276" s="65"/>
      <c r="AB276" s="65"/>
      <c r="AC276" s="65"/>
      <c r="AD276" s="65"/>
      <c r="AE276" s="66"/>
      <c r="AF276" s="66"/>
      <c r="AG276" s="66"/>
      <c r="AH276" s="66"/>
      <c r="AI276" s="65"/>
      <c r="AJ276" s="65"/>
      <c r="AK276" s="65"/>
      <c r="AL276" s="65"/>
      <c r="AM276" s="65"/>
      <c r="AN276" s="65"/>
      <c r="AO276" s="65"/>
      <c r="AP276" s="65"/>
      <c r="AQ276" s="65"/>
      <c r="AR276" s="65"/>
      <c r="AS276" s="65"/>
      <c r="AT276" s="65"/>
      <c r="AU276" s="65"/>
      <c r="AV276" s="65"/>
      <c r="AW276" s="65"/>
      <c r="AX276" s="65"/>
      <c r="AY276" s="65"/>
      <c r="AZ276" s="65"/>
      <c r="BA276" s="65"/>
      <c r="BB276" s="65"/>
      <c r="BC276" s="65"/>
      <c r="BD276" s="65"/>
      <c r="BE276" s="65"/>
      <c r="BF276" s="65"/>
      <c r="BG276" s="65"/>
      <c r="BH276" s="237"/>
      <c r="BI276" s="237"/>
      <c r="BJ276" s="237"/>
      <c r="BK276" s="65">
        <v>0</v>
      </c>
      <c r="BL276" s="65">
        <v>0</v>
      </c>
      <c r="BM276" s="65">
        <v>0</v>
      </c>
      <c r="BN276" s="65">
        <f t="shared" si="1459"/>
        <v>0</v>
      </c>
      <c r="BO276" s="67">
        <f t="shared" si="1460"/>
        <v>0</v>
      </c>
      <c r="BP276" s="65">
        <f t="shared" si="1461"/>
        <v>0</v>
      </c>
      <c r="BQ276" s="65">
        <f t="shared" si="1462"/>
        <v>0</v>
      </c>
      <c r="BR276" s="65">
        <f t="shared" si="1463"/>
        <v>0</v>
      </c>
      <c r="BS276" s="65">
        <f t="shared" si="1464"/>
        <v>0</v>
      </c>
      <c r="BT276" s="65">
        <f t="shared" si="1465"/>
        <v>0</v>
      </c>
      <c r="BU276" s="65">
        <f t="shared" si="1466"/>
        <v>0</v>
      </c>
      <c r="BV276" s="65">
        <f t="shared" si="1467"/>
        <v>0</v>
      </c>
      <c r="BW276" s="65">
        <f t="shared" si="1468"/>
        <v>0</v>
      </c>
      <c r="BX276" s="6"/>
      <c r="BY276" s="6"/>
      <c r="BZ276" s="6"/>
      <c r="CA276" s="6"/>
      <c r="CB276" s="6"/>
      <c r="CC276" s="6"/>
      <c r="CD276" s="6"/>
      <c r="CE276" s="6"/>
      <c r="CF276" s="6"/>
      <c r="CG276" s="6"/>
    </row>
    <row r="277" spans="1:85" ht="15.75" customHeight="1">
      <c r="A277" s="52" t="s">
        <v>426</v>
      </c>
      <c r="B277" s="69"/>
      <c r="C277" s="68" t="s">
        <v>73</v>
      </c>
      <c r="D277" s="70" t="s">
        <v>427</v>
      </c>
      <c r="E277" s="57">
        <v>0</v>
      </c>
      <c r="F277" s="57">
        <v>0</v>
      </c>
      <c r="G277" s="58">
        <f t="shared" si="1452"/>
        <v>0</v>
      </c>
      <c r="H277" s="57">
        <v>0</v>
      </c>
      <c r="I277" s="59">
        <f t="shared" si="1443"/>
        <v>0</v>
      </c>
      <c r="J277" s="59">
        <f t="shared" si="1444"/>
        <v>0</v>
      </c>
      <c r="K277" s="74">
        <v>1000</v>
      </c>
      <c r="L277" s="74">
        <v>0</v>
      </c>
      <c r="M277" s="74">
        <v>0</v>
      </c>
      <c r="N277" s="74">
        <v>0</v>
      </c>
      <c r="O277" s="63">
        <f t="shared" ref="O277:Q277" si="1472">AA277+AD277+AG277+AJ277+AM277+AP277+AS277+AV277+AY277+BB277+BE277+BH277</f>
        <v>300.89999999999998</v>
      </c>
      <c r="P277" s="61">
        <f t="shared" si="1472"/>
        <v>0</v>
      </c>
      <c r="Q277" s="61">
        <f t="shared" si="1472"/>
        <v>0</v>
      </c>
      <c r="R277" s="61">
        <f t="shared" ref="R277:T277" si="1473">IF(BK277=0,SUM(AA277+AD277+AG277+AJ277+AM277+AP277+AS277+AV277+AY277+BB277+BE277+BH277),BK277)</f>
        <v>300.89999999999998</v>
      </c>
      <c r="S277" s="61">
        <f t="shared" si="1473"/>
        <v>0</v>
      </c>
      <c r="T277" s="61">
        <f t="shared" si="1473"/>
        <v>0</v>
      </c>
      <c r="U277" s="62">
        <f t="shared" si="1455"/>
        <v>699.1</v>
      </c>
      <c r="V277" s="63">
        <f t="shared" si="1456"/>
        <v>0</v>
      </c>
      <c r="W277" s="63">
        <f t="shared" si="1457"/>
        <v>0</v>
      </c>
      <c r="X277" s="64">
        <f t="shared" ref="X277:Y277" si="1474">IF(O277&gt;0,O277/K277,0)</f>
        <v>0.3009</v>
      </c>
      <c r="Y277" s="64">
        <f t="shared" si="1474"/>
        <v>0</v>
      </c>
      <c r="Z277" s="64">
        <f t="shared" si="1436"/>
        <v>0</v>
      </c>
      <c r="AA277" s="65"/>
      <c r="AB277" s="65"/>
      <c r="AC277" s="65"/>
      <c r="AD277" s="65"/>
      <c r="AE277" s="66"/>
      <c r="AF277" s="66"/>
      <c r="AG277" s="113">
        <v>150.44999999999999</v>
      </c>
      <c r="AH277" s="66"/>
      <c r="AI277" s="65"/>
      <c r="AJ277" s="65"/>
      <c r="AK277" s="65"/>
      <c r="AL277" s="65"/>
      <c r="AM277" s="65"/>
      <c r="AN277" s="65"/>
      <c r="AO277" s="65"/>
      <c r="AP277" s="65">
        <f>150.45</f>
        <v>150.44999999999999</v>
      </c>
      <c r="AQ277" s="65"/>
      <c r="AR277" s="65"/>
      <c r="AS277" s="65"/>
      <c r="AT277" s="65"/>
      <c r="AU277" s="65"/>
      <c r="AV277" s="65"/>
      <c r="AW277" s="65"/>
      <c r="AX277" s="65"/>
      <c r="AY277" s="65"/>
      <c r="AZ277" s="65"/>
      <c r="BA277" s="65"/>
      <c r="BB277" s="65"/>
      <c r="BC277" s="65"/>
      <c r="BD277" s="65"/>
      <c r="BE277" s="65"/>
      <c r="BF277" s="65"/>
      <c r="BG277" s="65"/>
      <c r="BH277" s="237"/>
      <c r="BI277" s="237"/>
      <c r="BJ277" s="237"/>
      <c r="BK277" s="65">
        <v>0</v>
      </c>
      <c r="BL277" s="65">
        <v>0</v>
      </c>
      <c r="BM277" s="65">
        <v>0</v>
      </c>
      <c r="BN277" s="65">
        <f t="shared" si="1459"/>
        <v>300.89999999999998</v>
      </c>
      <c r="BO277" s="67">
        <f t="shared" si="1460"/>
        <v>0</v>
      </c>
      <c r="BP277" s="65">
        <f t="shared" si="1461"/>
        <v>300.89999999999998</v>
      </c>
      <c r="BQ277" s="65">
        <f t="shared" si="1462"/>
        <v>699.1</v>
      </c>
      <c r="BR277" s="65">
        <f t="shared" si="1463"/>
        <v>0</v>
      </c>
      <c r="BS277" s="65">
        <f t="shared" si="1464"/>
        <v>699.1</v>
      </c>
      <c r="BT277" s="65">
        <f t="shared" si="1465"/>
        <v>0</v>
      </c>
      <c r="BU277" s="65">
        <f t="shared" si="1466"/>
        <v>300.89999999999998</v>
      </c>
      <c r="BV277" s="65">
        <f t="shared" si="1467"/>
        <v>699.1</v>
      </c>
      <c r="BW277" s="65">
        <f t="shared" si="1468"/>
        <v>1000</v>
      </c>
      <c r="BX277" s="6"/>
      <c r="BY277" s="6"/>
      <c r="BZ277" s="6"/>
      <c r="CA277" s="6"/>
      <c r="CB277" s="6"/>
      <c r="CC277" s="6"/>
      <c r="CD277" s="6"/>
      <c r="CE277" s="6"/>
      <c r="CF277" s="6"/>
      <c r="CG277" s="6"/>
    </row>
    <row r="278" spans="1:85" ht="15.75" customHeight="1">
      <c r="A278" s="68"/>
      <c r="B278" s="69"/>
      <c r="C278" s="68" t="s">
        <v>73</v>
      </c>
      <c r="D278" s="70" t="s">
        <v>428</v>
      </c>
      <c r="E278" s="57">
        <v>0</v>
      </c>
      <c r="F278" s="57">
        <v>0</v>
      </c>
      <c r="G278" s="58">
        <f t="shared" si="1452"/>
        <v>0</v>
      </c>
      <c r="H278" s="57">
        <v>0</v>
      </c>
      <c r="I278" s="59">
        <f t="shared" si="1443"/>
        <v>0</v>
      </c>
      <c r="J278" s="59">
        <f t="shared" si="1444"/>
        <v>0</v>
      </c>
      <c r="K278" s="74">
        <v>0</v>
      </c>
      <c r="L278" s="74">
        <v>0</v>
      </c>
      <c r="M278" s="74">
        <v>0</v>
      </c>
      <c r="N278" s="74">
        <v>0</v>
      </c>
      <c r="O278" s="61">
        <f t="shared" ref="O278:Q278" si="1475">AA278+AD278+AG278+AJ278+AM278+AP278+AS278+AV278+AY278+BB278+BE278+BH278</f>
        <v>0</v>
      </c>
      <c r="P278" s="61">
        <f t="shared" si="1475"/>
        <v>0</v>
      </c>
      <c r="Q278" s="61">
        <f t="shared" si="1475"/>
        <v>0</v>
      </c>
      <c r="R278" s="61">
        <f t="shared" ref="R278:T278" si="1476">IF(BK278=0,SUM(AA278+AD278+AG278+AJ278+AM278+AP278+AS278+AV278+AY278+BB278+BE278+BH278),BK278)</f>
        <v>0</v>
      </c>
      <c r="S278" s="61">
        <f t="shared" si="1476"/>
        <v>0</v>
      </c>
      <c r="T278" s="61">
        <f t="shared" si="1476"/>
        <v>0</v>
      </c>
      <c r="U278" s="63">
        <f t="shared" si="1455"/>
        <v>0</v>
      </c>
      <c r="V278" s="63">
        <f t="shared" si="1456"/>
        <v>0</v>
      </c>
      <c r="W278" s="63">
        <f t="shared" si="1457"/>
        <v>0</v>
      </c>
      <c r="X278" s="64">
        <f t="shared" ref="X278:Y278" si="1477">IF(O278&gt;0,O278/K278,0)</f>
        <v>0</v>
      </c>
      <c r="Y278" s="64">
        <f t="shared" si="1477"/>
        <v>0</v>
      </c>
      <c r="Z278" s="64">
        <f t="shared" si="1436"/>
        <v>0</v>
      </c>
      <c r="AA278" s="65"/>
      <c r="AB278" s="65"/>
      <c r="AC278" s="65"/>
      <c r="AD278" s="65"/>
      <c r="AE278" s="66"/>
      <c r="AF278" s="66"/>
      <c r="AG278" s="66"/>
      <c r="AH278" s="66"/>
      <c r="AI278" s="65"/>
      <c r="AJ278" s="65"/>
      <c r="AK278" s="65"/>
      <c r="AL278" s="65"/>
      <c r="AM278" s="65"/>
      <c r="AN278" s="65"/>
      <c r="AO278" s="65"/>
      <c r="AP278" s="65"/>
      <c r="AQ278" s="65"/>
      <c r="AR278" s="65"/>
      <c r="AS278" s="65"/>
      <c r="AT278" s="65"/>
      <c r="AU278" s="65"/>
      <c r="AV278" s="65"/>
      <c r="AW278" s="65"/>
      <c r="AX278" s="65"/>
      <c r="AY278" s="65"/>
      <c r="AZ278" s="65"/>
      <c r="BA278" s="65"/>
      <c r="BB278" s="65"/>
      <c r="BC278" s="65"/>
      <c r="BD278" s="65"/>
      <c r="BE278" s="65"/>
      <c r="BF278" s="65"/>
      <c r="BG278" s="65"/>
      <c r="BH278" s="237"/>
      <c r="BI278" s="237"/>
      <c r="BJ278" s="237"/>
      <c r="BK278" s="65">
        <v>0</v>
      </c>
      <c r="BL278" s="65">
        <v>0</v>
      </c>
      <c r="BM278" s="65">
        <v>0</v>
      </c>
      <c r="BN278" s="65">
        <f t="shared" si="1459"/>
        <v>0</v>
      </c>
      <c r="BO278" s="67">
        <f t="shared" si="1460"/>
        <v>0</v>
      </c>
      <c r="BP278" s="65">
        <f t="shared" si="1461"/>
        <v>0</v>
      </c>
      <c r="BQ278" s="65">
        <f t="shared" si="1462"/>
        <v>0</v>
      </c>
      <c r="BR278" s="65">
        <f t="shared" si="1463"/>
        <v>0</v>
      </c>
      <c r="BS278" s="65">
        <f t="shared" si="1464"/>
        <v>0</v>
      </c>
      <c r="BT278" s="65">
        <f t="shared" si="1465"/>
        <v>0</v>
      </c>
      <c r="BU278" s="65">
        <f t="shared" si="1466"/>
        <v>0</v>
      </c>
      <c r="BV278" s="65">
        <f t="shared" si="1467"/>
        <v>0</v>
      </c>
      <c r="BW278" s="65">
        <f t="shared" si="1468"/>
        <v>0</v>
      </c>
      <c r="BX278" s="6"/>
      <c r="BY278" s="6"/>
      <c r="BZ278" s="6"/>
      <c r="CA278" s="6"/>
      <c r="CB278" s="6"/>
      <c r="CC278" s="6"/>
      <c r="CD278" s="6"/>
      <c r="CE278" s="6"/>
      <c r="CF278" s="6"/>
      <c r="CG278" s="6"/>
    </row>
    <row r="279" spans="1:85" ht="15.75">
      <c r="A279" s="296"/>
      <c r="B279" s="297"/>
      <c r="C279" s="297"/>
      <c r="D279" s="298" t="s">
        <v>75</v>
      </c>
      <c r="E279" s="299">
        <f t="shared" ref="E279:H279" si="1478">SUM(E280:E281)</f>
        <v>0</v>
      </c>
      <c r="F279" s="299">
        <f t="shared" si="1478"/>
        <v>0</v>
      </c>
      <c r="G279" s="299">
        <f t="shared" si="1478"/>
        <v>0</v>
      </c>
      <c r="H279" s="299">
        <f t="shared" si="1478"/>
        <v>0</v>
      </c>
      <c r="I279" s="300">
        <f t="shared" ref="I279:I281" si="1479">IF(G279&gt;0,K279/G279,0)</f>
        <v>0</v>
      </c>
      <c r="J279" s="300">
        <f t="shared" ref="J279:J281" si="1480">IF(G279&gt;0,O279/G279,0)</f>
        <v>0</v>
      </c>
      <c r="K279" s="301">
        <f t="shared" ref="K279:W279" si="1481">SUM(K280:K281)</f>
        <v>1500</v>
      </c>
      <c r="L279" s="301">
        <f t="shared" si="1481"/>
        <v>12120</v>
      </c>
      <c r="M279" s="301">
        <f t="shared" si="1481"/>
        <v>0</v>
      </c>
      <c r="N279" s="301">
        <f t="shared" si="1481"/>
        <v>0</v>
      </c>
      <c r="O279" s="301">
        <f t="shared" si="1481"/>
        <v>775</v>
      </c>
      <c r="P279" s="301">
        <f t="shared" si="1481"/>
        <v>0</v>
      </c>
      <c r="Q279" s="301">
        <f t="shared" si="1481"/>
        <v>0</v>
      </c>
      <c r="R279" s="301">
        <f t="shared" si="1481"/>
        <v>775</v>
      </c>
      <c r="S279" s="301">
        <f t="shared" si="1481"/>
        <v>0</v>
      </c>
      <c r="T279" s="301">
        <f t="shared" si="1481"/>
        <v>0</v>
      </c>
      <c r="U279" s="299">
        <f t="shared" si="1481"/>
        <v>725</v>
      </c>
      <c r="V279" s="299">
        <f t="shared" si="1481"/>
        <v>12120</v>
      </c>
      <c r="W279" s="301">
        <f t="shared" si="1481"/>
        <v>0</v>
      </c>
      <c r="X279" s="302">
        <f t="shared" ref="X279:Y279" si="1482">IF(O279&gt;0,O279/K279,0)</f>
        <v>0.51666666666666672</v>
      </c>
      <c r="Y279" s="302">
        <f t="shared" si="1482"/>
        <v>0</v>
      </c>
      <c r="Z279" s="302">
        <f t="shared" ref="Z279:Z281" si="1483">IF(Q279&gt;0,Q279/N279,0)</f>
        <v>0</v>
      </c>
      <c r="AA279" s="301">
        <f t="shared" ref="AA279:BW279" si="1484">SUM(AA280:AA281)</f>
        <v>0</v>
      </c>
      <c r="AB279" s="301">
        <f t="shared" si="1484"/>
        <v>0</v>
      </c>
      <c r="AC279" s="301">
        <f t="shared" si="1484"/>
        <v>0</v>
      </c>
      <c r="AD279" s="301">
        <f t="shared" si="1484"/>
        <v>0</v>
      </c>
      <c r="AE279" s="301">
        <f t="shared" si="1484"/>
        <v>0</v>
      </c>
      <c r="AF279" s="301">
        <f t="shared" si="1484"/>
        <v>0</v>
      </c>
      <c r="AG279" s="301">
        <f t="shared" si="1484"/>
        <v>0</v>
      </c>
      <c r="AH279" s="301">
        <f t="shared" si="1484"/>
        <v>0</v>
      </c>
      <c r="AI279" s="301">
        <f t="shared" si="1484"/>
        <v>0</v>
      </c>
      <c r="AJ279" s="301">
        <f t="shared" si="1484"/>
        <v>665</v>
      </c>
      <c r="AK279" s="301">
        <f t="shared" si="1484"/>
        <v>0</v>
      </c>
      <c r="AL279" s="301">
        <f t="shared" si="1484"/>
        <v>0</v>
      </c>
      <c r="AM279" s="301">
        <f t="shared" si="1484"/>
        <v>110</v>
      </c>
      <c r="AN279" s="301">
        <f t="shared" si="1484"/>
        <v>0</v>
      </c>
      <c r="AO279" s="301">
        <f t="shared" si="1484"/>
        <v>0</v>
      </c>
      <c r="AP279" s="301">
        <f t="shared" si="1484"/>
        <v>0</v>
      </c>
      <c r="AQ279" s="301">
        <f t="shared" si="1484"/>
        <v>0</v>
      </c>
      <c r="AR279" s="301">
        <f t="shared" si="1484"/>
        <v>0</v>
      </c>
      <c r="AS279" s="301">
        <f t="shared" si="1484"/>
        <v>0</v>
      </c>
      <c r="AT279" s="301">
        <f t="shared" si="1484"/>
        <v>0</v>
      </c>
      <c r="AU279" s="301">
        <f t="shared" si="1484"/>
        <v>0</v>
      </c>
      <c r="AV279" s="301">
        <f t="shared" si="1484"/>
        <v>0</v>
      </c>
      <c r="AW279" s="301">
        <f t="shared" si="1484"/>
        <v>0</v>
      </c>
      <c r="AX279" s="301">
        <f t="shared" si="1484"/>
        <v>0</v>
      </c>
      <c r="AY279" s="301">
        <f t="shared" si="1484"/>
        <v>0</v>
      </c>
      <c r="AZ279" s="301">
        <f t="shared" si="1484"/>
        <v>0</v>
      </c>
      <c r="BA279" s="301">
        <f t="shared" si="1484"/>
        <v>0</v>
      </c>
      <c r="BB279" s="301">
        <f t="shared" si="1484"/>
        <v>0</v>
      </c>
      <c r="BC279" s="301">
        <f t="shared" si="1484"/>
        <v>0</v>
      </c>
      <c r="BD279" s="301">
        <f t="shared" si="1484"/>
        <v>0</v>
      </c>
      <c r="BE279" s="301">
        <f t="shared" si="1484"/>
        <v>0</v>
      </c>
      <c r="BF279" s="301">
        <f t="shared" si="1484"/>
        <v>0</v>
      </c>
      <c r="BG279" s="301">
        <f t="shared" si="1484"/>
        <v>0</v>
      </c>
      <c r="BH279" s="301">
        <f t="shared" si="1484"/>
        <v>0</v>
      </c>
      <c r="BI279" s="301">
        <f t="shared" si="1484"/>
        <v>0</v>
      </c>
      <c r="BJ279" s="301">
        <f t="shared" si="1484"/>
        <v>0</v>
      </c>
      <c r="BK279" s="301">
        <f t="shared" si="1484"/>
        <v>0</v>
      </c>
      <c r="BL279" s="301">
        <f t="shared" si="1484"/>
        <v>0</v>
      </c>
      <c r="BM279" s="301">
        <f t="shared" si="1484"/>
        <v>0</v>
      </c>
      <c r="BN279" s="301">
        <f t="shared" si="1484"/>
        <v>775</v>
      </c>
      <c r="BO279" s="301">
        <f t="shared" si="1484"/>
        <v>0</v>
      </c>
      <c r="BP279" s="301">
        <f t="shared" si="1484"/>
        <v>775</v>
      </c>
      <c r="BQ279" s="301">
        <f t="shared" si="1484"/>
        <v>725</v>
      </c>
      <c r="BR279" s="301">
        <f t="shared" si="1484"/>
        <v>0</v>
      </c>
      <c r="BS279" s="301">
        <f t="shared" si="1484"/>
        <v>725</v>
      </c>
      <c r="BT279" s="301">
        <f t="shared" si="1484"/>
        <v>12120</v>
      </c>
      <c r="BU279" s="301">
        <f t="shared" si="1484"/>
        <v>775</v>
      </c>
      <c r="BV279" s="301">
        <f t="shared" si="1484"/>
        <v>725</v>
      </c>
      <c r="BW279" s="301">
        <f t="shared" si="1484"/>
        <v>13620</v>
      </c>
      <c r="BX279" s="136"/>
      <c r="BY279" s="136"/>
      <c r="BZ279" s="136"/>
      <c r="CA279" s="136"/>
      <c r="CB279" s="136"/>
      <c r="CC279" s="136"/>
      <c r="CD279" s="136"/>
      <c r="CE279" s="136"/>
      <c r="CF279" s="136"/>
      <c r="CG279" s="136"/>
    </row>
    <row r="280" spans="1:85" ht="15.75" customHeight="1">
      <c r="A280" s="303"/>
      <c r="B280" s="304" t="s">
        <v>429</v>
      </c>
      <c r="C280" s="146" t="s">
        <v>430</v>
      </c>
      <c r="D280" s="305" t="s">
        <v>431</v>
      </c>
      <c r="E280" s="149">
        <v>0</v>
      </c>
      <c r="F280" s="149"/>
      <c r="G280" s="149">
        <f t="shared" ref="G280:G281" si="1485">E280-F280</f>
        <v>0</v>
      </c>
      <c r="H280" s="149"/>
      <c r="I280" s="151">
        <f t="shared" si="1479"/>
        <v>0</v>
      </c>
      <c r="J280" s="151">
        <f t="shared" si="1480"/>
        <v>0</v>
      </c>
      <c r="K280" s="152">
        <v>0</v>
      </c>
      <c r="L280" s="153">
        <v>12120</v>
      </c>
      <c r="M280" s="154">
        <v>0</v>
      </c>
      <c r="N280" s="154">
        <v>0</v>
      </c>
      <c r="O280" s="155">
        <f t="shared" ref="O280:Q280" si="1486">AA280+AD280+AG280+AJ280+AM280+AP280+AS280+AV280+AY280+BB280+BE280+BH280</f>
        <v>0</v>
      </c>
      <c r="P280" s="155">
        <f t="shared" si="1486"/>
        <v>0</v>
      </c>
      <c r="Q280" s="155">
        <f t="shared" si="1486"/>
        <v>0</v>
      </c>
      <c r="R280" s="155">
        <f t="shared" ref="R280:T280" si="1487">IF(BK280=0,SUM(AA280+AD280+AG280+AJ280+AM280+AP280+AS280+AV280+AY280+BB280+BE280+BH280),BK280)</f>
        <v>0</v>
      </c>
      <c r="S280" s="155">
        <f t="shared" si="1487"/>
        <v>0</v>
      </c>
      <c r="T280" s="155">
        <f t="shared" si="1487"/>
        <v>0</v>
      </c>
      <c r="U280" s="156">
        <f t="shared" ref="U280:U281" si="1488">K280-O280</f>
        <v>0</v>
      </c>
      <c r="V280" s="116">
        <f t="shared" ref="V280:V281" si="1489">L280-M280-S280</f>
        <v>12120</v>
      </c>
      <c r="W280" s="155">
        <f t="shared" ref="W280:W281" si="1490">N280-Q280</f>
        <v>0</v>
      </c>
      <c r="X280" s="157">
        <f t="shared" ref="X280:Y280" si="1491">IF(O280&gt;0,O280/K280,0)</f>
        <v>0</v>
      </c>
      <c r="Y280" s="157">
        <f t="shared" si="1491"/>
        <v>0</v>
      </c>
      <c r="Z280" s="157">
        <f t="shared" si="1483"/>
        <v>0</v>
      </c>
      <c r="AA280" s="158"/>
      <c r="AB280" s="158"/>
      <c r="AC280" s="158"/>
      <c r="AD280" s="158"/>
      <c r="AE280" s="159"/>
      <c r="AF280" s="159"/>
      <c r="AG280" s="159"/>
      <c r="AH280" s="159"/>
      <c r="AI280" s="158"/>
      <c r="AJ280" s="158"/>
      <c r="AK280" s="158"/>
      <c r="AL280" s="158"/>
      <c r="AM280" s="158"/>
      <c r="AN280" s="158"/>
      <c r="AO280" s="158"/>
      <c r="AP280" s="158"/>
      <c r="AQ280" s="158"/>
      <c r="AR280" s="158"/>
      <c r="AS280" s="152"/>
      <c r="AT280" s="158"/>
      <c r="AU280" s="158"/>
      <c r="AV280" s="158"/>
      <c r="AW280" s="158"/>
      <c r="AX280" s="158"/>
      <c r="AY280" s="158"/>
      <c r="AZ280" s="158"/>
      <c r="BA280" s="158"/>
      <c r="BB280" s="158"/>
      <c r="BC280" s="158"/>
      <c r="BD280" s="158"/>
      <c r="BE280" s="158"/>
      <c r="BF280" s="158"/>
      <c r="BG280" s="158"/>
      <c r="BH280" s="158"/>
      <c r="BI280" s="158"/>
      <c r="BJ280" s="158"/>
      <c r="BK280" s="158"/>
      <c r="BL280" s="158">
        <v>0</v>
      </c>
      <c r="BM280" s="158">
        <v>0</v>
      </c>
      <c r="BN280" s="152">
        <f t="shared" ref="BN280:BN281" si="1492">IF(O280-BK280&gt;0,O280-BK280,0)</f>
        <v>0</v>
      </c>
      <c r="BO280" s="161">
        <f t="shared" ref="BO280:BO281" si="1493">IF(Q280-BM280&gt;0,Q280-BM280,0)</f>
        <v>0</v>
      </c>
      <c r="BP280" s="152">
        <f t="shared" ref="BP280:BP281" si="1494">IF(BN280+BO280&gt;0,BN280+BO280,0)</f>
        <v>0</v>
      </c>
      <c r="BQ280" s="152">
        <f t="shared" ref="BQ280:BQ281" si="1495">IF(U280=0,0,U280)</f>
        <v>0</v>
      </c>
      <c r="BR280" s="152">
        <f t="shared" ref="BR280:BR281" si="1496">IF(W280=0,0,W280)</f>
        <v>0</v>
      </c>
      <c r="BS280" s="152">
        <f t="shared" ref="BS280:BS281" si="1497">IF(BQ280+BR280&gt;0,BQ280+BR280,0)</f>
        <v>0</v>
      </c>
      <c r="BT280" s="152">
        <f t="shared" ref="BT280:BT281" si="1498">IF(V280&gt;0,V280,0)</f>
        <v>12120</v>
      </c>
      <c r="BU280" s="152">
        <f t="shared" ref="BU280:BU281" si="1499">IF(BP280=0,0,BP280)</f>
        <v>0</v>
      </c>
      <c r="BV280" s="152">
        <f t="shared" ref="BV280:BV281" si="1500">IF(BS280=0,0,BS280)</f>
        <v>0</v>
      </c>
      <c r="BW280" s="152">
        <f t="shared" ref="BW280:BW281" si="1501">IF(BP280+BT280+BV280&gt;0,BP280+BT280+BV280,0)</f>
        <v>12120</v>
      </c>
      <c r="BX280" s="136"/>
      <c r="BY280" s="136"/>
      <c r="BZ280" s="136"/>
      <c r="CA280" s="136"/>
      <c r="CB280" s="136"/>
      <c r="CC280" s="136"/>
      <c r="CD280" s="136"/>
      <c r="CE280" s="136"/>
      <c r="CF280" s="136"/>
      <c r="CG280" s="136"/>
    </row>
    <row r="281" spans="1:85" ht="15.75" customHeight="1">
      <c r="A281" s="52" t="s">
        <v>432</v>
      </c>
      <c r="B281" s="304"/>
      <c r="C281" s="146" t="s">
        <v>77</v>
      </c>
      <c r="D281" s="306" t="s">
        <v>433</v>
      </c>
      <c r="E281" s="149">
        <v>0</v>
      </c>
      <c r="F281" s="149"/>
      <c r="G281" s="149">
        <f t="shared" si="1485"/>
        <v>0</v>
      </c>
      <c r="H281" s="149"/>
      <c r="I281" s="151">
        <f t="shared" si="1479"/>
        <v>0</v>
      </c>
      <c r="J281" s="151">
        <f t="shared" si="1480"/>
        <v>0</v>
      </c>
      <c r="K281" s="307">
        <v>1500</v>
      </c>
      <c r="L281" s="154">
        <v>0</v>
      </c>
      <c r="M281" s="154">
        <v>0</v>
      </c>
      <c r="N281" s="154">
        <v>0</v>
      </c>
      <c r="O281" s="156">
        <f t="shared" ref="O281:Q281" si="1502">AA281+AD281+AG281+AJ281+AM281+AP281+AS281+AV281+AY281+BB281+BE281+BH281</f>
        <v>775</v>
      </c>
      <c r="P281" s="155">
        <f t="shared" si="1502"/>
        <v>0</v>
      </c>
      <c r="Q281" s="155">
        <f t="shared" si="1502"/>
        <v>0</v>
      </c>
      <c r="R281" s="155">
        <f t="shared" ref="R281:T281" si="1503">IF(BK281=0,SUM(AA281+AD281+AG281+AJ281+AM281+AP281+AS281+AV281+AY281+BB281+BE281+BH281),BK281)</f>
        <v>775</v>
      </c>
      <c r="S281" s="155">
        <f t="shared" si="1503"/>
        <v>0</v>
      </c>
      <c r="T281" s="155">
        <f t="shared" si="1503"/>
        <v>0</v>
      </c>
      <c r="U281" s="308">
        <f t="shared" si="1488"/>
        <v>725</v>
      </c>
      <c r="V281" s="63">
        <f t="shared" si="1489"/>
        <v>0</v>
      </c>
      <c r="W281" s="155">
        <f t="shared" si="1490"/>
        <v>0</v>
      </c>
      <c r="X281" s="157">
        <f t="shared" ref="X281:Y281" si="1504">IF(O281&gt;0,O281/K281,0)</f>
        <v>0.51666666666666672</v>
      </c>
      <c r="Y281" s="157">
        <f t="shared" si="1504"/>
        <v>0</v>
      </c>
      <c r="Z281" s="157">
        <f t="shared" si="1483"/>
        <v>0</v>
      </c>
      <c r="AA281" s="158"/>
      <c r="AB281" s="158"/>
      <c r="AC281" s="158"/>
      <c r="AD281" s="158"/>
      <c r="AE281" s="159"/>
      <c r="AF281" s="159"/>
      <c r="AG281" s="159"/>
      <c r="AH281" s="159"/>
      <c r="AI281" s="158"/>
      <c r="AJ281" s="158">
        <f>245+280+140</f>
        <v>665</v>
      </c>
      <c r="AK281" s="158"/>
      <c r="AL281" s="158"/>
      <c r="AM281" s="158">
        <f>110</f>
        <v>110</v>
      </c>
      <c r="AN281" s="158"/>
      <c r="AO281" s="158"/>
      <c r="AP281" s="158"/>
      <c r="AQ281" s="158"/>
      <c r="AR281" s="158"/>
      <c r="AS281" s="307">
        <v>0</v>
      </c>
      <c r="AT281" s="158"/>
      <c r="AU281" s="158"/>
      <c r="AV281" s="154">
        <v>0</v>
      </c>
      <c r="AW281" s="158"/>
      <c r="AX281" s="158"/>
      <c r="AY281" s="154">
        <v>0</v>
      </c>
      <c r="AZ281" s="158"/>
      <c r="BA281" s="158"/>
      <c r="BB281" s="158"/>
      <c r="BC281" s="158"/>
      <c r="BD281" s="158"/>
      <c r="BE281" s="154">
        <v>0</v>
      </c>
      <c r="BF281" s="158"/>
      <c r="BG281" s="158"/>
      <c r="BH281" s="158"/>
      <c r="BI281" s="158"/>
      <c r="BJ281" s="158"/>
      <c r="BK281" s="154">
        <v>0</v>
      </c>
      <c r="BL281" s="158">
        <v>0</v>
      </c>
      <c r="BM281" s="158">
        <v>0</v>
      </c>
      <c r="BN281" s="152">
        <f t="shared" si="1492"/>
        <v>775</v>
      </c>
      <c r="BO281" s="161">
        <f t="shared" si="1493"/>
        <v>0</v>
      </c>
      <c r="BP281" s="152">
        <f t="shared" si="1494"/>
        <v>775</v>
      </c>
      <c r="BQ281" s="152">
        <f t="shared" si="1495"/>
        <v>725</v>
      </c>
      <c r="BR281" s="152">
        <f t="shared" si="1496"/>
        <v>0</v>
      </c>
      <c r="BS281" s="152">
        <f t="shared" si="1497"/>
        <v>725</v>
      </c>
      <c r="BT281" s="152">
        <f t="shared" si="1498"/>
        <v>0</v>
      </c>
      <c r="BU281" s="152">
        <f t="shared" si="1499"/>
        <v>775</v>
      </c>
      <c r="BV281" s="152">
        <f t="shared" si="1500"/>
        <v>725</v>
      </c>
      <c r="BW281" s="152">
        <f t="shared" si="1501"/>
        <v>1500</v>
      </c>
      <c r="BX281" s="136"/>
      <c r="BY281" s="136"/>
      <c r="BZ281" s="136"/>
      <c r="CA281" s="136"/>
      <c r="CB281" s="136"/>
      <c r="CC281" s="136"/>
      <c r="CD281" s="136"/>
      <c r="CE281" s="136"/>
      <c r="CF281" s="136"/>
      <c r="CG281" s="136"/>
    </row>
    <row r="282" spans="1:85" ht="15.75">
      <c r="A282" s="75"/>
      <c r="B282" s="76"/>
      <c r="C282" s="77"/>
      <c r="D282" s="78" t="s">
        <v>83</v>
      </c>
      <c r="E282" s="45">
        <f t="shared" ref="E282:H282" si="1505">SUM(E283:E289)</f>
        <v>35000</v>
      </c>
      <c r="F282" s="45">
        <f t="shared" si="1505"/>
        <v>0</v>
      </c>
      <c r="G282" s="45">
        <f t="shared" si="1505"/>
        <v>35000</v>
      </c>
      <c r="H282" s="45">
        <f t="shared" si="1505"/>
        <v>0</v>
      </c>
      <c r="I282" s="47">
        <f t="shared" ref="I282:I291" si="1506">IF(G282&gt;0,K282/G282,0)</f>
        <v>0</v>
      </c>
      <c r="J282" s="47">
        <f t="shared" ref="J282:J291" si="1507">IF(G282&gt;0,O282/G282,0)</f>
        <v>0</v>
      </c>
      <c r="K282" s="45">
        <f t="shared" ref="K282:W282" si="1508">SUM(K283:K289)</f>
        <v>0</v>
      </c>
      <c r="L282" s="45">
        <f t="shared" si="1508"/>
        <v>0</v>
      </c>
      <c r="M282" s="45">
        <f t="shared" si="1508"/>
        <v>0</v>
      </c>
      <c r="N282" s="45">
        <f t="shared" si="1508"/>
        <v>0</v>
      </c>
      <c r="O282" s="45">
        <f t="shared" si="1508"/>
        <v>0</v>
      </c>
      <c r="P282" s="45">
        <f t="shared" si="1508"/>
        <v>0</v>
      </c>
      <c r="Q282" s="45">
        <f t="shared" si="1508"/>
        <v>0</v>
      </c>
      <c r="R282" s="45">
        <f t="shared" si="1508"/>
        <v>0</v>
      </c>
      <c r="S282" s="45">
        <f t="shared" si="1508"/>
        <v>0</v>
      </c>
      <c r="T282" s="45">
        <f t="shared" si="1508"/>
        <v>0</v>
      </c>
      <c r="U282" s="45">
        <f t="shared" si="1508"/>
        <v>0</v>
      </c>
      <c r="V282" s="45">
        <f t="shared" si="1508"/>
        <v>0</v>
      </c>
      <c r="W282" s="45">
        <f t="shared" si="1508"/>
        <v>0</v>
      </c>
      <c r="X282" s="50">
        <f t="shared" ref="X282:Y282" si="1509">IF(O282&gt;0,O282/K282,0)</f>
        <v>0</v>
      </c>
      <c r="Y282" s="50">
        <f t="shared" si="1509"/>
        <v>0</v>
      </c>
      <c r="Z282" s="50">
        <f t="shared" ref="Z282:Z291" si="1510">IF(Q282&gt;0,Q282/N282,0)</f>
        <v>0</v>
      </c>
      <c r="AA282" s="45">
        <f t="shared" ref="AA282:BW282" si="1511">SUM(AA283:AA289)</f>
        <v>0</v>
      </c>
      <c r="AB282" s="45">
        <f t="shared" si="1511"/>
        <v>0</v>
      </c>
      <c r="AC282" s="45">
        <f t="shared" si="1511"/>
        <v>0</v>
      </c>
      <c r="AD282" s="45">
        <f t="shared" si="1511"/>
        <v>0</v>
      </c>
      <c r="AE282" s="45">
        <f t="shared" si="1511"/>
        <v>0</v>
      </c>
      <c r="AF282" s="45">
        <f t="shared" si="1511"/>
        <v>0</v>
      </c>
      <c r="AG282" s="45">
        <f t="shared" si="1511"/>
        <v>0</v>
      </c>
      <c r="AH282" s="45">
        <f t="shared" si="1511"/>
        <v>0</v>
      </c>
      <c r="AI282" s="45">
        <f t="shared" si="1511"/>
        <v>0</v>
      </c>
      <c r="AJ282" s="45">
        <f t="shared" si="1511"/>
        <v>0</v>
      </c>
      <c r="AK282" s="45">
        <f t="shared" si="1511"/>
        <v>0</v>
      </c>
      <c r="AL282" s="45">
        <f t="shared" si="1511"/>
        <v>0</v>
      </c>
      <c r="AM282" s="45">
        <f t="shared" si="1511"/>
        <v>0</v>
      </c>
      <c r="AN282" s="45">
        <f t="shared" si="1511"/>
        <v>0</v>
      </c>
      <c r="AO282" s="45">
        <f t="shared" si="1511"/>
        <v>0</v>
      </c>
      <c r="AP282" s="45">
        <f t="shared" si="1511"/>
        <v>0</v>
      </c>
      <c r="AQ282" s="45">
        <f t="shared" si="1511"/>
        <v>0</v>
      </c>
      <c r="AR282" s="45">
        <f t="shared" si="1511"/>
        <v>0</v>
      </c>
      <c r="AS282" s="45">
        <f t="shared" si="1511"/>
        <v>0</v>
      </c>
      <c r="AT282" s="45">
        <f t="shared" si="1511"/>
        <v>0</v>
      </c>
      <c r="AU282" s="45">
        <f t="shared" si="1511"/>
        <v>0</v>
      </c>
      <c r="AV282" s="45">
        <f t="shared" si="1511"/>
        <v>0</v>
      </c>
      <c r="AW282" s="45">
        <f t="shared" si="1511"/>
        <v>0</v>
      </c>
      <c r="AX282" s="45">
        <f t="shared" si="1511"/>
        <v>0</v>
      </c>
      <c r="AY282" s="45">
        <f t="shared" si="1511"/>
        <v>0</v>
      </c>
      <c r="AZ282" s="45">
        <f t="shared" si="1511"/>
        <v>0</v>
      </c>
      <c r="BA282" s="45">
        <f t="shared" si="1511"/>
        <v>0</v>
      </c>
      <c r="BB282" s="45">
        <f t="shared" si="1511"/>
        <v>0</v>
      </c>
      <c r="BC282" s="45">
        <f t="shared" si="1511"/>
        <v>0</v>
      </c>
      <c r="BD282" s="45">
        <f t="shared" si="1511"/>
        <v>0</v>
      </c>
      <c r="BE282" s="45">
        <f t="shared" si="1511"/>
        <v>0</v>
      </c>
      <c r="BF282" s="45">
        <f t="shared" si="1511"/>
        <v>0</v>
      </c>
      <c r="BG282" s="45">
        <f t="shared" si="1511"/>
        <v>0</v>
      </c>
      <c r="BH282" s="45">
        <f t="shared" si="1511"/>
        <v>0</v>
      </c>
      <c r="BI282" s="45">
        <f t="shared" si="1511"/>
        <v>0</v>
      </c>
      <c r="BJ282" s="45">
        <f t="shared" si="1511"/>
        <v>0</v>
      </c>
      <c r="BK282" s="45">
        <f t="shared" si="1511"/>
        <v>0</v>
      </c>
      <c r="BL282" s="45">
        <f t="shared" si="1511"/>
        <v>0</v>
      </c>
      <c r="BM282" s="45">
        <f t="shared" si="1511"/>
        <v>0</v>
      </c>
      <c r="BN282" s="45">
        <f t="shared" si="1511"/>
        <v>0</v>
      </c>
      <c r="BO282" s="45">
        <f t="shared" si="1511"/>
        <v>0</v>
      </c>
      <c r="BP282" s="45">
        <f t="shared" si="1511"/>
        <v>0</v>
      </c>
      <c r="BQ282" s="45">
        <f t="shared" si="1511"/>
        <v>0</v>
      </c>
      <c r="BR282" s="45">
        <f t="shared" si="1511"/>
        <v>0</v>
      </c>
      <c r="BS282" s="45">
        <f t="shared" si="1511"/>
        <v>0</v>
      </c>
      <c r="BT282" s="45">
        <f t="shared" si="1511"/>
        <v>0</v>
      </c>
      <c r="BU282" s="45">
        <f t="shared" si="1511"/>
        <v>0</v>
      </c>
      <c r="BV282" s="45">
        <f t="shared" si="1511"/>
        <v>0</v>
      </c>
      <c r="BW282" s="45">
        <f t="shared" si="1511"/>
        <v>0</v>
      </c>
      <c r="BX282" s="51"/>
      <c r="BY282" s="51"/>
      <c r="BZ282" s="51"/>
      <c r="CA282" s="51"/>
      <c r="CB282" s="51"/>
      <c r="CC282" s="51"/>
      <c r="CD282" s="51"/>
      <c r="CE282" s="51"/>
      <c r="CF282" s="51"/>
      <c r="CG282" s="51"/>
    </row>
    <row r="283" spans="1:85" ht="15.75" customHeight="1">
      <c r="A283" s="68"/>
      <c r="B283" s="69"/>
      <c r="C283" s="68" t="s">
        <v>84</v>
      </c>
      <c r="D283" s="70" t="s">
        <v>85</v>
      </c>
      <c r="E283" s="56">
        <v>5000</v>
      </c>
      <c r="F283" s="99">
        <v>0</v>
      </c>
      <c r="G283" s="58">
        <f t="shared" ref="G283:G289" si="1512">E283-F283</f>
        <v>5000</v>
      </c>
      <c r="H283" s="99">
        <v>0</v>
      </c>
      <c r="I283" s="59">
        <f t="shared" si="1506"/>
        <v>0</v>
      </c>
      <c r="J283" s="59">
        <f t="shared" si="1507"/>
        <v>0</v>
      </c>
      <c r="K283" s="74">
        <v>0</v>
      </c>
      <c r="L283" s="74">
        <v>0</v>
      </c>
      <c r="M283" s="74">
        <v>0</v>
      </c>
      <c r="N283" s="74">
        <v>0</v>
      </c>
      <c r="O283" s="61">
        <f t="shared" ref="O283:Q283" si="1513">AA283+AD283+AG283+AJ283+AM283+AP283+AS283+AV283+AY283+BB283+BE283+BH283</f>
        <v>0</v>
      </c>
      <c r="P283" s="61">
        <f t="shared" si="1513"/>
        <v>0</v>
      </c>
      <c r="Q283" s="61">
        <f t="shared" si="1513"/>
        <v>0</v>
      </c>
      <c r="R283" s="61">
        <f t="shared" ref="R283:T283" si="1514">IF(BK283=0,SUM(AA283+AD283+AG283+AJ283+AM283+AP283+AS283+AV283+AY283+BB283+BE283+BH283),BK283)</f>
        <v>0</v>
      </c>
      <c r="S283" s="61">
        <f t="shared" si="1514"/>
        <v>0</v>
      </c>
      <c r="T283" s="61">
        <f t="shared" si="1514"/>
        <v>0</v>
      </c>
      <c r="U283" s="63">
        <f t="shared" ref="U283:U289" si="1515">K283-O283</f>
        <v>0</v>
      </c>
      <c r="V283" s="63">
        <f t="shared" ref="V283:V289" si="1516">L283-M283-S283</f>
        <v>0</v>
      </c>
      <c r="W283" s="63">
        <f t="shared" ref="W283:W289" si="1517">N283-Q283</f>
        <v>0</v>
      </c>
      <c r="X283" s="64">
        <f t="shared" ref="X283:Y283" si="1518">IF(O283&gt;0,O283/K283,0)</f>
        <v>0</v>
      </c>
      <c r="Y283" s="64">
        <f t="shared" si="1518"/>
        <v>0</v>
      </c>
      <c r="Z283" s="64">
        <f t="shared" si="1510"/>
        <v>0</v>
      </c>
      <c r="AA283" s="65"/>
      <c r="AB283" s="65"/>
      <c r="AC283" s="65"/>
      <c r="AD283" s="65"/>
      <c r="AE283" s="66"/>
      <c r="AF283" s="66"/>
      <c r="AG283" s="66"/>
      <c r="AH283" s="66"/>
      <c r="AI283" s="65"/>
      <c r="AJ283" s="65"/>
      <c r="AK283" s="65"/>
      <c r="AL283" s="65"/>
      <c r="AM283" s="65"/>
      <c r="AN283" s="65"/>
      <c r="AO283" s="65"/>
      <c r="AP283" s="65"/>
      <c r="AQ283" s="65"/>
      <c r="AR283" s="65"/>
      <c r="AS283" s="65"/>
      <c r="AT283" s="65"/>
      <c r="AU283" s="65"/>
      <c r="AV283" s="65"/>
      <c r="AW283" s="65"/>
      <c r="AX283" s="65"/>
      <c r="AY283" s="65"/>
      <c r="AZ283" s="65"/>
      <c r="BA283" s="65"/>
      <c r="BB283" s="65"/>
      <c r="BC283" s="65"/>
      <c r="BD283" s="65"/>
      <c r="BE283" s="65"/>
      <c r="BF283" s="65"/>
      <c r="BG283" s="65"/>
      <c r="BH283" s="237"/>
      <c r="BI283" s="237"/>
      <c r="BJ283" s="237"/>
      <c r="BK283" s="65">
        <v>0</v>
      </c>
      <c r="BL283" s="65">
        <v>0</v>
      </c>
      <c r="BM283" s="65">
        <v>0</v>
      </c>
      <c r="BN283" s="65">
        <f t="shared" ref="BN283:BN289" si="1519">IF(O283-BK283&gt;0,O283-BK283,0)</f>
        <v>0</v>
      </c>
      <c r="BO283" s="67">
        <f t="shared" ref="BO283:BO289" si="1520">IF(Q283-BM283&gt;0,Q283-BM283,0)</f>
        <v>0</v>
      </c>
      <c r="BP283" s="65">
        <f t="shared" ref="BP283:BP289" si="1521">IF(BN283+BO283&gt;0,BN283+BO283,0)</f>
        <v>0</v>
      </c>
      <c r="BQ283" s="65">
        <f t="shared" ref="BQ283:BQ289" si="1522">IF(U283=0,0,U283)</f>
        <v>0</v>
      </c>
      <c r="BR283" s="65">
        <f t="shared" ref="BR283:BR289" si="1523">IF(W283=0,0,W283)</f>
        <v>0</v>
      </c>
      <c r="BS283" s="65">
        <f t="shared" ref="BS283:BS289" si="1524">IF(BQ283+BR283&gt;0,BQ283+BR283,0)</f>
        <v>0</v>
      </c>
      <c r="BT283" s="65">
        <f t="shared" ref="BT283:BT289" si="1525">IF(V283&gt;0,V283,0)</f>
        <v>0</v>
      </c>
      <c r="BU283" s="65">
        <f t="shared" ref="BU283:BU289" si="1526">IF(BP283=0,0,BP283)</f>
        <v>0</v>
      </c>
      <c r="BV283" s="65">
        <f t="shared" ref="BV283:BV289" si="1527">IF(BS283=0,0,BS283)</f>
        <v>0</v>
      </c>
      <c r="BW283" s="65">
        <f t="shared" ref="BW283:BW289" si="1528">IF(BP283+BT283+BV283&gt;0,BP283+BT283+BV283,0)</f>
        <v>0</v>
      </c>
      <c r="BX283" s="6"/>
      <c r="BY283" s="6"/>
      <c r="BZ283" s="6"/>
      <c r="CA283" s="6"/>
      <c r="CB283" s="6"/>
      <c r="CC283" s="6"/>
      <c r="CD283" s="6"/>
      <c r="CE283" s="6"/>
      <c r="CF283" s="6"/>
      <c r="CG283" s="6"/>
    </row>
    <row r="284" spans="1:85" ht="15.75" customHeight="1">
      <c r="A284" s="68"/>
      <c r="B284" s="69"/>
      <c r="C284" s="68" t="s">
        <v>434</v>
      </c>
      <c r="D284" s="122" t="s">
        <v>435</v>
      </c>
      <c r="E284" s="56">
        <v>5000</v>
      </c>
      <c r="F284" s="99">
        <v>0</v>
      </c>
      <c r="G284" s="58">
        <f t="shared" si="1512"/>
        <v>5000</v>
      </c>
      <c r="H284" s="99">
        <v>0</v>
      </c>
      <c r="I284" s="59">
        <f t="shared" si="1506"/>
        <v>0</v>
      </c>
      <c r="J284" s="59">
        <f t="shared" si="1507"/>
        <v>0</v>
      </c>
      <c r="K284" s="74">
        <v>0</v>
      </c>
      <c r="L284" s="74">
        <v>0</v>
      </c>
      <c r="M284" s="74">
        <v>0</v>
      </c>
      <c r="N284" s="74">
        <v>0</v>
      </c>
      <c r="O284" s="61">
        <f t="shared" ref="O284:Q284" si="1529">AA284+AD284+AG284+AJ284+AM284+AP284+AS284+AV284+AY284+BB284+BE284+BH284</f>
        <v>0</v>
      </c>
      <c r="P284" s="61">
        <f t="shared" si="1529"/>
        <v>0</v>
      </c>
      <c r="Q284" s="61">
        <f t="shared" si="1529"/>
        <v>0</v>
      </c>
      <c r="R284" s="61">
        <f t="shared" ref="R284:T284" si="1530">IF(BK284=0,SUM(AA284+AD284+AG284+AJ284+AM284+AP284+AS284+AV284+AY284+BB284+BE284+BH284),BK284)</f>
        <v>0</v>
      </c>
      <c r="S284" s="61">
        <f t="shared" si="1530"/>
        <v>0</v>
      </c>
      <c r="T284" s="61">
        <f t="shared" si="1530"/>
        <v>0</v>
      </c>
      <c r="U284" s="63">
        <f t="shared" si="1515"/>
        <v>0</v>
      </c>
      <c r="V284" s="63">
        <f t="shared" si="1516"/>
        <v>0</v>
      </c>
      <c r="W284" s="63">
        <f t="shared" si="1517"/>
        <v>0</v>
      </c>
      <c r="X284" s="64">
        <f t="shared" ref="X284:Y284" si="1531">IF(O284&gt;0,O284/K284,0)</f>
        <v>0</v>
      </c>
      <c r="Y284" s="64">
        <f t="shared" si="1531"/>
        <v>0</v>
      </c>
      <c r="Z284" s="64">
        <f t="shared" si="1510"/>
        <v>0</v>
      </c>
      <c r="AA284" s="65"/>
      <c r="AB284" s="65"/>
      <c r="AC284" s="65"/>
      <c r="AD284" s="65"/>
      <c r="AE284" s="66"/>
      <c r="AF284" s="66"/>
      <c r="AG284" s="66"/>
      <c r="AH284" s="66"/>
      <c r="AI284" s="65"/>
      <c r="AJ284" s="65"/>
      <c r="AK284" s="65"/>
      <c r="AL284" s="65"/>
      <c r="AM284" s="65"/>
      <c r="AN284" s="65"/>
      <c r="AO284" s="65"/>
      <c r="AP284" s="65"/>
      <c r="AQ284" s="65"/>
      <c r="AR284" s="65"/>
      <c r="AS284" s="65"/>
      <c r="AT284" s="65"/>
      <c r="AU284" s="65"/>
      <c r="AV284" s="65"/>
      <c r="AW284" s="65"/>
      <c r="AX284" s="65"/>
      <c r="AY284" s="65"/>
      <c r="AZ284" s="65"/>
      <c r="BA284" s="65"/>
      <c r="BB284" s="65"/>
      <c r="BC284" s="65"/>
      <c r="BD284" s="65"/>
      <c r="BE284" s="65"/>
      <c r="BF284" s="65"/>
      <c r="BG284" s="65"/>
      <c r="BH284" s="237"/>
      <c r="BI284" s="237"/>
      <c r="BJ284" s="237"/>
      <c r="BK284" s="65">
        <v>0</v>
      </c>
      <c r="BL284" s="65">
        <v>0</v>
      </c>
      <c r="BM284" s="65">
        <v>0</v>
      </c>
      <c r="BN284" s="65">
        <f t="shared" si="1519"/>
        <v>0</v>
      </c>
      <c r="BO284" s="67">
        <f t="shared" si="1520"/>
        <v>0</v>
      </c>
      <c r="BP284" s="65">
        <f t="shared" si="1521"/>
        <v>0</v>
      </c>
      <c r="BQ284" s="65">
        <f t="shared" si="1522"/>
        <v>0</v>
      </c>
      <c r="BR284" s="65">
        <f t="shared" si="1523"/>
        <v>0</v>
      </c>
      <c r="BS284" s="65">
        <f t="shared" si="1524"/>
        <v>0</v>
      </c>
      <c r="BT284" s="65">
        <f t="shared" si="1525"/>
        <v>0</v>
      </c>
      <c r="BU284" s="65">
        <f t="shared" si="1526"/>
        <v>0</v>
      </c>
      <c r="BV284" s="65">
        <f t="shared" si="1527"/>
        <v>0</v>
      </c>
      <c r="BW284" s="65">
        <f t="shared" si="1528"/>
        <v>0</v>
      </c>
      <c r="BX284" s="6"/>
      <c r="BY284" s="6"/>
      <c r="BZ284" s="6"/>
      <c r="CA284" s="6"/>
      <c r="CB284" s="6"/>
      <c r="CC284" s="6"/>
      <c r="CD284" s="6"/>
      <c r="CE284" s="6"/>
      <c r="CF284" s="6"/>
      <c r="CG284" s="6"/>
    </row>
    <row r="285" spans="1:85" ht="15.75" customHeight="1">
      <c r="A285" s="68"/>
      <c r="B285" s="69"/>
      <c r="C285" s="68" t="s">
        <v>436</v>
      </c>
      <c r="D285" s="309" t="s">
        <v>437</v>
      </c>
      <c r="E285" s="56">
        <v>10000</v>
      </c>
      <c r="F285" s="99">
        <v>0</v>
      </c>
      <c r="G285" s="58">
        <f t="shared" si="1512"/>
        <v>10000</v>
      </c>
      <c r="H285" s="99">
        <v>0</v>
      </c>
      <c r="I285" s="59">
        <f t="shared" si="1506"/>
        <v>0</v>
      </c>
      <c r="J285" s="59">
        <f t="shared" si="1507"/>
        <v>0</v>
      </c>
      <c r="K285" s="74">
        <v>0</v>
      </c>
      <c r="L285" s="74">
        <v>0</v>
      </c>
      <c r="M285" s="74">
        <v>0</v>
      </c>
      <c r="N285" s="74">
        <v>0</v>
      </c>
      <c r="O285" s="61">
        <f t="shared" ref="O285:Q285" si="1532">AA285+AD285+AG285+AJ285+AM285+AP285+AS285+AV285+AY285+BB285+BE285+BH285</f>
        <v>0</v>
      </c>
      <c r="P285" s="61">
        <f t="shared" si="1532"/>
        <v>0</v>
      </c>
      <c r="Q285" s="61">
        <f t="shared" si="1532"/>
        <v>0</v>
      </c>
      <c r="R285" s="61">
        <f t="shared" ref="R285:T285" si="1533">IF(BK285=0,SUM(AA285+AD285+AG285+AJ285+AM285+AP285+AS285+AV285+AY285+BB285+BE285+BH285),BK285)</f>
        <v>0</v>
      </c>
      <c r="S285" s="61">
        <f t="shared" si="1533"/>
        <v>0</v>
      </c>
      <c r="T285" s="61">
        <f t="shared" si="1533"/>
        <v>0</v>
      </c>
      <c r="U285" s="63">
        <f t="shared" si="1515"/>
        <v>0</v>
      </c>
      <c r="V285" s="63">
        <f t="shared" si="1516"/>
        <v>0</v>
      </c>
      <c r="W285" s="63">
        <f t="shared" si="1517"/>
        <v>0</v>
      </c>
      <c r="X285" s="64">
        <f t="shared" ref="X285:Y285" si="1534">IF(O285&gt;0,O285/K285,0)</f>
        <v>0</v>
      </c>
      <c r="Y285" s="64">
        <f t="shared" si="1534"/>
        <v>0</v>
      </c>
      <c r="Z285" s="64">
        <f t="shared" si="1510"/>
        <v>0</v>
      </c>
      <c r="AA285" s="65"/>
      <c r="AB285" s="65"/>
      <c r="AC285" s="65"/>
      <c r="AD285" s="65"/>
      <c r="AE285" s="66"/>
      <c r="AF285" s="66"/>
      <c r="AG285" s="66"/>
      <c r="AH285" s="66"/>
      <c r="AI285" s="65"/>
      <c r="AJ285" s="65"/>
      <c r="AK285" s="65"/>
      <c r="AL285" s="65"/>
      <c r="AM285" s="65"/>
      <c r="AN285" s="65"/>
      <c r="AO285" s="65"/>
      <c r="AP285" s="65"/>
      <c r="AQ285" s="65"/>
      <c r="AR285" s="65"/>
      <c r="AS285" s="65"/>
      <c r="AT285" s="65"/>
      <c r="AU285" s="65"/>
      <c r="AV285" s="65"/>
      <c r="AW285" s="65"/>
      <c r="AX285" s="65"/>
      <c r="AY285" s="65"/>
      <c r="AZ285" s="65"/>
      <c r="BA285" s="65"/>
      <c r="BB285" s="65"/>
      <c r="BC285" s="65"/>
      <c r="BD285" s="65"/>
      <c r="BE285" s="65"/>
      <c r="BF285" s="65"/>
      <c r="BG285" s="65"/>
      <c r="BH285" s="237"/>
      <c r="BI285" s="237"/>
      <c r="BJ285" s="237"/>
      <c r="BK285" s="65">
        <v>0</v>
      </c>
      <c r="BL285" s="65">
        <v>0</v>
      </c>
      <c r="BM285" s="65">
        <v>0</v>
      </c>
      <c r="BN285" s="65">
        <f t="shared" si="1519"/>
        <v>0</v>
      </c>
      <c r="BO285" s="67">
        <f t="shared" si="1520"/>
        <v>0</v>
      </c>
      <c r="BP285" s="65">
        <f t="shared" si="1521"/>
        <v>0</v>
      </c>
      <c r="BQ285" s="65">
        <f t="shared" si="1522"/>
        <v>0</v>
      </c>
      <c r="BR285" s="65">
        <f t="shared" si="1523"/>
        <v>0</v>
      </c>
      <c r="BS285" s="65">
        <f t="shared" si="1524"/>
        <v>0</v>
      </c>
      <c r="BT285" s="65">
        <f t="shared" si="1525"/>
        <v>0</v>
      </c>
      <c r="BU285" s="65">
        <f t="shared" si="1526"/>
        <v>0</v>
      </c>
      <c r="BV285" s="65">
        <f t="shared" si="1527"/>
        <v>0</v>
      </c>
      <c r="BW285" s="65">
        <f t="shared" si="1528"/>
        <v>0</v>
      </c>
      <c r="BX285" s="6"/>
      <c r="BY285" s="6"/>
      <c r="BZ285" s="6"/>
      <c r="CA285" s="6"/>
      <c r="CB285" s="6"/>
      <c r="CC285" s="6"/>
      <c r="CD285" s="6"/>
      <c r="CE285" s="6"/>
      <c r="CF285" s="6"/>
      <c r="CG285" s="6"/>
    </row>
    <row r="286" spans="1:85" ht="15.75" customHeight="1">
      <c r="A286" s="68"/>
      <c r="B286" s="69"/>
      <c r="C286" s="68" t="s">
        <v>90</v>
      </c>
      <c r="D286" s="122" t="s">
        <v>438</v>
      </c>
      <c r="E286" s="56">
        <v>10000</v>
      </c>
      <c r="F286" s="99">
        <v>0</v>
      </c>
      <c r="G286" s="58">
        <f t="shared" si="1512"/>
        <v>10000</v>
      </c>
      <c r="H286" s="99">
        <v>0</v>
      </c>
      <c r="I286" s="59">
        <f t="shared" si="1506"/>
        <v>0</v>
      </c>
      <c r="J286" s="59">
        <f t="shared" si="1507"/>
        <v>0</v>
      </c>
      <c r="K286" s="74">
        <v>0</v>
      </c>
      <c r="L286" s="74">
        <v>0</v>
      </c>
      <c r="M286" s="74">
        <v>0</v>
      </c>
      <c r="N286" s="74">
        <v>0</v>
      </c>
      <c r="O286" s="61">
        <f t="shared" ref="O286:Q286" si="1535">AA286+AD286+AG286+AJ286+AM286+AP286+AS286+AV286+AY286+BB286+BE286+BH286</f>
        <v>0</v>
      </c>
      <c r="P286" s="61">
        <f t="shared" si="1535"/>
        <v>0</v>
      </c>
      <c r="Q286" s="61">
        <f t="shared" si="1535"/>
        <v>0</v>
      </c>
      <c r="R286" s="61">
        <f t="shared" ref="R286:T286" si="1536">IF(BK286=0,SUM(AA286+AD286+AG286+AJ286+AM286+AP286+AS286+AV286+AY286+BB286+BE286+BH286),BK286)</f>
        <v>0</v>
      </c>
      <c r="S286" s="61">
        <f t="shared" si="1536"/>
        <v>0</v>
      </c>
      <c r="T286" s="61">
        <f t="shared" si="1536"/>
        <v>0</v>
      </c>
      <c r="U286" s="63">
        <f t="shared" si="1515"/>
        <v>0</v>
      </c>
      <c r="V286" s="63">
        <f t="shared" si="1516"/>
        <v>0</v>
      </c>
      <c r="W286" s="63">
        <f t="shared" si="1517"/>
        <v>0</v>
      </c>
      <c r="X286" s="64">
        <f t="shared" ref="X286:Y286" si="1537">IF(O286&gt;0,O286/K286,0)</f>
        <v>0</v>
      </c>
      <c r="Y286" s="64">
        <f t="shared" si="1537"/>
        <v>0</v>
      </c>
      <c r="Z286" s="64">
        <f t="shared" si="1510"/>
        <v>0</v>
      </c>
      <c r="AA286" s="65"/>
      <c r="AB286" s="65"/>
      <c r="AC286" s="65"/>
      <c r="AD286" s="65"/>
      <c r="AE286" s="66"/>
      <c r="AF286" s="66"/>
      <c r="AG286" s="66"/>
      <c r="AH286" s="66"/>
      <c r="AI286" s="65"/>
      <c r="AJ286" s="65"/>
      <c r="AK286" s="65"/>
      <c r="AL286" s="65"/>
      <c r="AM286" s="65"/>
      <c r="AN286" s="65"/>
      <c r="AO286" s="65"/>
      <c r="AP286" s="65"/>
      <c r="AQ286" s="65"/>
      <c r="AR286" s="65"/>
      <c r="AS286" s="65"/>
      <c r="AT286" s="65"/>
      <c r="AU286" s="65"/>
      <c r="AV286" s="65"/>
      <c r="AW286" s="65"/>
      <c r="AX286" s="65"/>
      <c r="AY286" s="65"/>
      <c r="AZ286" s="65"/>
      <c r="BA286" s="65"/>
      <c r="BB286" s="65"/>
      <c r="BC286" s="65"/>
      <c r="BD286" s="65"/>
      <c r="BE286" s="65"/>
      <c r="BF286" s="65"/>
      <c r="BG286" s="65"/>
      <c r="BH286" s="237"/>
      <c r="BI286" s="237"/>
      <c r="BJ286" s="237"/>
      <c r="BK286" s="65">
        <v>0</v>
      </c>
      <c r="BL286" s="65">
        <v>0</v>
      </c>
      <c r="BM286" s="65">
        <v>0</v>
      </c>
      <c r="BN286" s="65">
        <f t="shared" si="1519"/>
        <v>0</v>
      </c>
      <c r="BO286" s="67">
        <f t="shared" si="1520"/>
        <v>0</v>
      </c>
      <c r="BP286" s="65">
        <f t="shared" si="1521"/>
        <v>0</v>
      </c>
      <c r="BQ286" s="65">
        <f t="shared" si="1522"/>
        <v>0</v>
      </c>
      <c r="BR286" s="65">
        <f t="shared" si="1523"/>
        <v>0</v>
      </c>
      <c r="BS286" s="65">
        <f t="shared" si="1524"/>
        <v>0</v>
      </c>
      <c r="BT286" s="65">
        <f t="shared" si="1525"/>
        <v>0</v>
      </c>
      <c r="BU286" s="65">
        <f t="shared" si="1526"/>
        <v>0</v>
      </c>
      <c r="BV286" s="65">
        <f t="shared" si="1527"/>
        <v>0</v>
      </c>
      <c r="BW286" s="65">
        <f t="shared" si="1528"/>
        <v>0</v>
      </c>
      <c r="BX286" s="6"/>
      <c r="BY286" s="6"/>
      <c r="BZ286" s="6"/>
      <c r="CA286" s="6"/>
      <c r="CB286" s="6"/>
      <c r="CC286" s="6"/>
      <c r="CD286" s="6"/>
      <c r="CE286" s="6"/>
      <c r="CF286" s="6"/>
      <c r="CG286" s="6"/>
    </row>
    <row r="287" spans="1:85" ht="15.75" customHeight="1">
      <c r="A287" s="68"/>
      <c r="B287" s="69"/>
      <c r="C287" s="68" t="s">
        <v>110</v>
      </c>
      <c r="D287" s="122" t="s">
        <v>439</v>
      </c>
      <c r="E287" s="310">
        <v>0</v>
      </c>
      <c r="F287" s="99">
        <v>0</v>
      </c>
      <c r="G287" s="58">
        <f t="shared" si="1512"/>
        <v>0</v>
      </c>
      <c r="H287" s="99">
        <v>0</v>
      </c>
      <c r="I287" s="59">
        <f t="shared" si="1506"/>
        <v>0</v>
      </c>
      <c r="J287" s="59">
        <f t="shared" si="1507"/>
        <v>0</v>
      </c>
      <c r="K287" s="74">
        <v>0</v>
      </c>
      <c r="L287" s="74">
        <v>0</v>
      </c>
      <c r="M287" s="74">
        <v>0</v>
      </c>
      <c r="N287" s="74">
        <v>0</v>
      </c>
      <c r="O287" s="61">
        <f t="shared" ref="O287:Q287" si="1538">AA287+AD287+AG287+AJ287+AM287+AP287+AS287+AV287+AY287+BB287+BE287+BH287</f>
        <v>0</v>
      </c>
      <c r="P287" s="61">
        <f t="shared" si="1538"/>
        <v>0</v>
      </c>
      <c r="Q287" s="61">
        <f t="shared" si="1538"/>
        <v>0</v>
      </c>
      <c r="R287" s="61">
        <f t="shared" ref="R287:T287" si="1539">IF(BK287=0,SUM(AA287+AD287+AG287+AJ287+AM287+AP287+AS287+AV287+AY287+BB287+BE287+BH287),BK287)</f>
        <v>0</v>
      </c>
      <c r="S287" s="61">
        <f t="shared" si="1539"/>
        <v>0</v>
      </c>
      <c r="T287" s="61">
        <f t="shared" si="1539"/>
        <v>0</v>
      </c>
      <c r="U287" s="63">
        <f t="shared" si="1515"/>
        <v>0</v>
      </c>
      <c r="V287" s="63">
        <f t="shared" si="1516"/>
        <v>0</v>
      </c>
      <c r="W287" s="63">
        <f t="shared" si="1517"/>
        <v>0</v>
      </c>
      <c r="X287" s="64">
        <f t="shared" ref="X287:Y287" si="1540">IF(O287&gt;0,O287/K287,0)</f>
        <v>0</v>
      </c>
      <c r="Y287" s="64">
        <f t="shared" si="1540"/>
        <v>0</v>
      </c>
      <c r="Z287" s="64">
        <f t="shared" si="1510"/>
        <v>0</v>
      </c>
      <c r="AA287" s="65"/>
      <c r="AB287" s="65"/>
      <c r="AC287" s="65"/>
      <c r="AD287" s="65"/>
      <c r="AE287" s="66"/>
      <c r="AF287" s="66"/>
      <c r="AG287" s="66"/>
      <c r="AH287" s="66"/>
      <c r="AI287" s="65"/>
      <c r="AJ287" s="65"/>
      <c r="AK287" s="65"/>
      <c r="AL287" s="65"/>
      <c r="AM287" s="65"/>
      <c r="AN287" s="65"/>
      <c r="AO287" s="65"/>
      <c r="AP287" s="65"/>
      <c r="AQ287" s="65"/>
      <c r="AR287" s="65"/>
      <c r="AS287" s="65"/>
      <c r="AT287" s="65"/>
      <c r="AU287" s="65"/>
      <c r="AV287" s="65"/>
      <c r="AW287" s="65"/>
      <c r="AX287" s="65"/>
      <c r="AY287" s="65"/>
      <c r="AZ287" s="65"/>
      <c r="BA287" s="65"/>
      <c r="BB287" s="65"/>
      <c r="BC287" s="65"/>
      <c r="BD287" s="65"/>
      <c r="BE287" s="65"/>
      <c r="BF287" s="65"/>
      <c r="BG287" s="65"/>
      <c r="BH287" s="237"/>
      <c r="BI287" s="237"/>
      <c r="BJ287" s="237"/>
      <c r="BK287" s="65">
        <v>0</v>
      </c>
      <c r="BL287" s="65">
        <v>0</v>
      </c>
      <c r="BM287" s="65">
        <v>0</v>
      </c>
      <c r="BN287" s="65">
        <f t="shared" si="1519"/>
        <v>0</v>
      </c>
      <c r="BO287" s="67">
        <f t="shared" si="1520"/>
        <v>0</v>
      </c>
      <c r="BP287" s="65">
        <f t="shared" si="1521"/>
        <v>0</v>
      </c>
      <c r="BQ287" s="65">
        <f t="shared" si="1522"/>
        <v>0</v>
      </c>
      <c r="BR287" s="65">
        <f t="shared" si="1523"/>
        <v>0</v>
      </c>
      <c r="BS287" s="65">
        <f t="shared" si="1524"/>
        <v>0</v>
      </c>
      <c r="BT287" s="65">
        <f t="shared" si="1525"/>
        <v>0</v>
      </c>
      <c r="BU287" s="65">
        <f t="shared" si="1526"/>
        <v>0</v>
      </c>
      <c r="BV287" s="65">
        <f t="shared" si="1527"/>
        <v>0</v>
      </c>
      <c r="BW287" s="65">
        <f t="shared" si="1528"/>
        <v>0</v>
      </c>
      <c r="BX287" s="6"/>
      <c r="BY287" s="6"/>
      <c r="BZ287" s="6"/>
      <c r="CA287" s="6"/>
      <c r="CB287" s="6"/>
      <c r="CC287" s="6"/>
      <c r="CD287" s="6"/>
      <c r="CE287" s="6"/>
      <c r="CF287" s="6"/>
      <c r="CG287" s="6"/>
    </row>
    <row r="288" spans="1:85" ht="15.75" customHeight="1">
      <c r="A288" s="68"/>
      <c r="B288" s="69"/>
      <c r="C288" s="68" t="s">
        <v>440</v>
      </c>
      <c r="D288" s="124" t="s">
        <v>441</v>
      </c>
      <c r="E288" s="56">
        <v>3000</v>
      </c>
      <c r="F288" s="99">
        <v>0</v>
      </c>
      <c r="G288" s="58">
        <f t="shared" si="1512"/>
        <v>3000</v>
      </c>
      <c r="H288" s="99">
        <v>0</v>
      </c>
      <c r="I288" s="59">
        <f t="shared" si="1506"/>
        <v>0</v>
      </c>
      <c r="J288" s="59">
        <f t="shared" si="1507"/>
        <v>0</v>
      </c>
      <c r="K288" s="74">
        <v>0</v>
      </c>
      <c r="L288" s="74">
        <v>0</v>
      </c>
      <c r="M288" s="74">
        <v>0</v>
      </c>
      <c r="N288" s="74">
        <v>0</v>
      </c>
      <c r="O288" s="61">
        <f t="shared" ref="O288:Q288" si="1541">AA288+AD288+AG288+AJ288+AM288+AP288+AS288+AV288+AY288+BB288+BE288+BH288</f>
        <v>0</v>
      </c>
      <c r="P288" s="61">
        <f t="shared" si="1541"/>
        <v>0</v>
      </c>
      <c r="Q288" s="61">
        <f t="shared" si="1541"/>
        <v>0</v>
      </c>
      <c r="R288" s="61">
        <f t="shared" ref="R288:T288" si="1542">IF(BK288=0,SUM(AA288+AD288+AG288+AJ288+AM288+AP288+AS288+AV288+AY288+BB288+BE288+BH288),BK288)</f>
        <v>0</v>
      </c>
      <c r="S288" s="61">
        <f t="shared" si="1542"/>
        <v>0</v>
      </c>
      <c r="T288" s="61">
        <f t="shared" si="1542"/>
        <v>0</v>
      </c>
      <c r="U288" s="63">
        <f t="shared" si="1515"/>
        <v>0</v>
      </c>
      <c r="V288" s="63">
        <f t="shared" si="1516"/>
        <v>0</v>
      </c>
      <c r="W288" s="63">
        <f t="shared" si="1517"/>
        <v>0</v>
      </c>
      <c r="X288" s="64">
        <f t="shared" ref="X288:Y288" si="1543">IF(O288&gt;0,O288/K288,0)</f>
        <v>0</v>
      </c>
      <c r="Y288" s="64">
        <f t="shared" si="1543"/>
        <v>0</v>
      </c>
      <c r="Z288" s="64">
        <f t="shared" si="1510"/>
        <v>0</v>
      </c>
      <c r="AA288" s="65"/>
      <c r="AB288" s="65"/>
      <c r="AC288" s="65"/>
      <c r="AD288" s="65"/>
      <c r="AE288" s="66"/>
      <c r="AF288" s="66"/>
      <c r="AG288" s="66"/>
      <c r="AH288" s="66"/>
      <c r="AI288" s="65"/>
      <c r="AJ288" s="65"/>
      <c r="AK288" s="65"/>
      <c r="AL288" s="65"/>
      <c r="AM288" s="65"/>
      <c r="AN288" s="65"/>
      <c r="AO288" s="65"/>
      <c r="AP288" s="65"/>
      <c r="AQ288" s="65"/>
      <c r="AR288" s="65"/>
      <c r="AS288" s="65"/>
      <c r="AT288" s="65"/>
      <c r="AU288" s="65"/>
      <c r="AV288" s="65"/>
      <c r="AW288" s="65"/>
      <c r="AX288" s="65"/>
      <c r="AY288" s="65"/>
      <c r="AZ288" s="65"/>
      <c r="BA288" s="65"/>
      <c r="BB288" s="65"/>
      <c r="BC288" s="65"/>
      <c r="BD288" s="65"/>
      <c r="BE288" s="65"/>
      <c r="BF288" s="65"/>
      <c r="BG288" s="65"/>
      <c r="BH288" s="237"/>
      <c r="BI288" s="237"/>
      <c r="BJ288" s="237"/>
      <c r="BK288" s="65">
        <v>0</v>
      </c>
      <c r="BL288" s="65">
        <v>0</v>
      </c>
      <c r="BM288" s="65">
        <v>0</v>
      </c>
      <c r="BN288" s="65">
        <f t="shared" si="1519"/>
        <v>0</v>
      </c>
      <c r="BO288" s="67">
        <f t="shared" si="1520"/>
        <v>0</v>
      </c>
      <c r="BP288" s="65">
        <f t="shared" si="1521"/>
        <v>0</v>
      </c>
      <c r="BQ288" s="65">
        <f t="shared" si="1522"/>
        <v>0</v>
      </c>
      <c r="BR288" s="65">
        <f t="shared" si="1523"/>
        <v>0</v>
      </c>
      <c r="BS288" s="65">
        <f t="shared" si="1524"/>
        <v>0</v>
      </c>
      <c r="BT288" s="65">
        <f t="shared" si="1525"/>
        <v>0</v>
      </c>
      <c r="BU288" s="65">
        <f t="shared" si="1526"/>
        <v>0</v>
      </c>
      <c r="BV288" s="65">
        <f t="shared" si="1527"/>
        <v>0</v>
      </c>
      <c r="BW288" s="65">
        <f t="shared" si="1528"/>
        <v>0</v>
      </c>
      <c r="BX288" s="6"/>
      <c r="BY288" s="6"/>
      <c r="BZ288" s="6"/>
      <c r="CA288" s="6"/>
      <c r="CB288" s="6"/>
      <c r="CC288" s="6"/>
      <c r="CD288" s="6"/>
      <c r="CE288" s="6"/>
      <c r="CF288" s="6"/>
      <c r="CG288" s="6"/>
    </row>
    <row r="289" spans="1:85" ht="15.75" customHeight="1">
      <c r="A289" s="68"/>
      <c r="B289" s="69"/>
      <c r="C289" s="68" t="s">
        <v>442</v>
      </c>
      <c r="D289" s="122" t="s">
        <v>443</v>
      </c>
      <c r="E289" s="56">
        <v>2000</v>
      </c>
      <c r="F289" s="99">
        <v>0</v>
      </c>
      <c r="G289" s="58">
        <f t="shared" si="1512"/>
        <v>2000</v>
      </c>
      <c r="H289" s="99">
        <v>0</v>
      </c>
      <c r="I289" s="59">
        <f t="shared" si="1506"/>
        <v>0</v>
      </c>
      <c r="J289" s="59">
        <f t="shared" si="1507"/>
        <v>0</v>
      </c>
      <c r="K289" s="74">
        <v>0</v>
      </c>
      <c r="L289" s="74">
        <v>0</v>
      </c>
      <c r="M289" s="74">
        <v>0</v>
      </c>
      <c r="N289" s="74">
        <v>0</v>
      </c>
      <c r="O289" s="61">
        <f t="shared" ref="O289:Q289" si="1544">AA289+AD289+AG289+AJ289+AM289+AP289+AS289+AV289+AY289+BB289+BE289+BH289</f>
        <v>0</v>
      </c>
      <c r="P289" s="61">
        <f t="shared" si="1544"/>
        <v>0</v>
      </c>
      <c r="Q289" s="61">
        <f t="shared" si="1544"/>
        <v>0</v>
      </c>
      <c r="R289" s="61">
        <f t="shared" ref="R289:T289" si="1545">IF(BK289=0,SUM(AA289+AD289+AG289+AJ289+AM289+AP289+AS289+AV289+AY289+BB289+BE289+BH289),BK289)</f>
        <v>0</v>
      </c>
      <c r="S289" s="61">
        <f t="shared" si="1545"/>
        <v>0</v>
      </c>
      <c r="T289" s="61">
        <f t="shared" si="1545"/>
        <v>0</v>
      </c>
      <c r="U289" s="63">
        <f t="shared" si="1515"/>
        <v>0</v>
      </c>
      <c r="V289" s="63">
        <f t="shared" si="1516"/>
        <v>0</v>
      </c>
      <c r="W289" s="63">
        <f t="shared" si="1517"/>
        <v>0</v>
      </c>
      <c r="X289" s="64">
        <f t="shared" ref="X289:Y289" si="1546">IF(O289&gt;0,O289/K289,0)</f>
        <v>0</v>
      </c>
      <c r="Y289" s="64">
        <f t="shared" si="1546"/>
        <v>0</v>
      </c>
      <c r="Z289" s="64">
        <f t="shared" si="1510"/>
        <v>0</v>
      </c>
      <c r="AA289" s="65"/>
      <c r="AB289" s="65"/>
      <c r="AC289" s="65"/>
      <c r="AD289" s="65"/>
      <c r="AE289" s="66"/>
      <c r="AF289" s="66"/>
      <c r="AG289" s="66"/>
      <c r="AH289" s="66"/>
      <c r="AI289" s="65"/>
      <c r="AJ289" s="65"/>
      <c r="AK289" s="65"/>
      <c r="AL289" s="65"/>
      <c r="AM289" s="65"/>
      <c r="AN289" s="65"/>
      <c r="AO289" s="65"/>
      <c r="AP289" s="65"/>
      <c r="AQ289" s="65"/>
      <c r="AR289" s="65"/>
      <c r="AS289" s="65"/>
      <c r="AT289" s="65"/>
      <c r="AU289" s="65"/>
      <c r="AV289" s="65"/>
      <c r="AW289" s="65"/>
      <c r="AX289" s="65"/>
      <c r="AY289" s="65"/>
      <c r="AZ289" s="65"/>
      <c r="BA289" s="65"/>
      <c r="BB289" s="65"/>
      <c r="BC289" s="65"/>
      <c r="BD289" s="65"/>
      <c r="BE289" s="65"/>
      <c r="BF289" s="65"/>
      <c r="BG289" s="65"/>
      <c r="BH289" s="237"/>
      <c r="BI289" s="237"/>
      <c r="BJ289" s="237"/>
      <c r="BK289" s="65">
        <v>0</v>
      </c>
      <c r="BL289" s="65">
        <v>0</v>
      </c>
      <c r="BM289" s="65">
        <v>0</v>
      </c>
      <c r="BN289" s="65">
        <f t="shared" si="1519"/>
        <v>0</v>
      </c>
      <c r="BO289" s="67">
        <f t="shared" si="1520"/>
        <v>0</v>
      </c>
      <c r="BP289" s="65">
        <f t="shared" si="1521"/>
        <v>0</v>
      </c>
      <c r="BQ289" s="65">
        <f t="shared" si="1522"/>
        <v>0</v>
      </c>
      <c r="BR289" s="65">
        <f t="shared" si="1523"/>
        <v>0</v>
      </c>
      <c r="BS289" s="65">
        <f t="shared" si="1524"/>
        <v>0</v>
      </c>
      <c r="BT289" s="65">
        <f t="shared" si="1525"/>
        <v>0</v>
      </c>
      <c r="BU289" s="65">
        <f t="shared" si="1526"/>
        <v>0</v>
      </c>
      <c r="BV289" s="65">
        <f t="shared" si="1527"/>
        <v>0</v>
      </c>
      <c r="BW289" s="65">
        <f t="shared" si="1528"/>
        <v>0</v>
      </c>
      <c r="BX289" s="6"/>
      <c r="BY289" s="6"/>
      <c r="BZ289" s="6"/>
      <c r="CA289" s="6"/>
      <c r="CB289" s="6"/>
      <c r="CC289" s="6"/>
      <c r="CD289" s="6"/>
      <c r="CE289" s="6"/>
      <c r="CF289" s="6"/>
      <c r="CG289" s="6"/>
    </row>
    <row r="290" spans="1:85" ht="15.75" customHeight="1">
      <c r="A290" s="260"/>
      <c r="B290" s="261"/>
      <c r="C290" s="262"/>
      <c r="D290" s="78" t="s">
        <v>339</v>
      </c>
      <c r="E290" s="45">
        <f t="shared" ref="E290:H290" si="1547">E291</f>
        <v>0</v>
      </c>
      <c r="F290" s="46">
        <f t="shared" si="1547"/>
        <v>0</v>
      </c>
      <c r="G290" s="46">
        <f t="shared" si="1547"/>
        <v>0</v>
      </c>
      <c r="H290" s="46">
        <f t="shared" si="1547"/>
        <v>0</v>
      </c>
      <c r="I290" s="47">
        <f t="shared" si="1506"/>
        <v>0</v>
      </c>
      <c r="J290" s="47">
        <f t="shared" si="1507"/>
        <v>0</v>
      </c>
      <c r="K290" s="46">
        <f t="shared" ref="K290:W290" si="1548">K291</f>
        <v>0</v>
      </c>
      <c r="L290" s="46">
        <f t="shared" si="1548"/>
        <v>0</v>
      </c>
      <c r="M290" s="46">
        <f t="shared" si="1548"/>
        <v>0</v>
      </c>
      <c r="N290" s="46">
        <f t="shared" si="1548"/>
        <v>0</v>
      </c>
      <c r="O290" s="46">
        <f t="shared" si="1548"/>
        <v>0</v>
      </c>
      <c r="P290" s="46">
        <f t="shared" si="1548"/>
        <v>0</v>
      </c>
      <c r="Q290" s="46">
        <f t="shared" si="1548"/>
        <v>0</v>
      </c>
      <c r="R290" s="46">
        <f t="shared" si="1548"/>
        <v>0</v>
      </c>
      <c r="S290" s="46">
        <f t="shared" si="1548"/>
        <v>0</v>
      </c>
      <c r="T290" s="46">
        <f t="shared" si="1548"/>
        <v>0</v>
      </c>
      <c r="U290" s="46">
        <f t="shared" si="1548"/>
        <v>0</v>
      </c>
      <c r="V290" s="46">
        <f t="shared" si="1548"/>
        <v>0</v>
      </c>
      <c r="W290" s="46">
        <f t="shared" si="1548"/>
        <v>0</v>
      </c>
      <c r="X290" s="50">
        <f t="shared" ref="X290:Y290" si="1549">IF(O290&gt;0,O290/K290,0)</f>
        <v>0</v>
      </c>
      <c r="Y290" s="50">
        <f t="shared" si="1549"/>
        <v>0</v>
      </c>
      <c r="Z290" s="50">
        <f t="shared" si="1510"/>
        <v>0</v>
      </c>
      <c r="AA290" s="46">
        <f t="shared" ref="AA290:BW290" si="1550">AA291</f>
        <v>0</v>
      </c>
      <c r="AB290" s="46">
        <f t="shared" si="1550"/>
        <v>0</v>
      </c>
      <c r="AC290" s="46">
        <f t="shared" si="1550"/>
        <v>0</v>
      </c>
      <c r="AD290" s="46">
        <f t="shared" si="1550"/>
        <v>0</v>
      </c>
      <c r="AE290" s="46">
        <f t="shared" si="1550"/>
        <v>0</v>
      </c>
      <c r="AF290" s="46">
        <f t="shared" si="1550"/>
        <v>0</v>
      </c>
      <c r="AG290" s="46">
        <f t="shared" si="1550"/>
        <v>0</v>
      </c>
      <c r="AH290" s="46">
        <f t="shared" si="1550"/>
        <v>0</v>
      </c>
      <c r="AI290" s="46">
        <f t="shared" si="1550"/>
        <v>0</v>
      </c>
      <c r="AJ290" s="46">
        <f t="shared" si="1550"/>
        <v>0</v>
      </c>
      <c r="AK290" s="46">
        <f t="shared" si="1550"/>
        <v>0</v>
      </c>
      <c r="AL290" s="46">
        <f t="shared" si="1550"/>
        <v>0</v>
      </c>
      <c r="AM290" s="46">
        <f t="shared" si="1550"/>
        <v>0</v>
      </c>
      <c r="AN290" s="46">
        <f t="shared" si="1550"/>
        <v>0</v>
      </c>
      <c r="AO290" s="46">
        <f t="shared" si="1550"/>
        <v>0</v>
      </c>
      <c r="AP290" s="46">
        <f t="shared" si="1550"/>
        <v>0</v>
      </c>
      <c r="AQ290" s="46">
        <f t="shared" si="1550"/>
        <v>0</v>
      </c>
      <c r="AR290" s="46">
        <f t="shared" si="1550"/>
        <v>0</v>
      </c>
      <c r="AS290" s="46">
        <f t="shared" si="1550"/>
        <v>0</v>
      </c>
      <c r="AT290" s="46">
        <f t="shared" si="1550"/>
        <v>0</v>
      </c>
      <c r="AU290" s="46">
        <f t="shared" si="1550"/>
        <v>0</v>
      </c>
      <c r="AV290" s="46">
        <f t="shared" si="1550"/>
        <v>0</v>
      </c>
      <c r="AW290" s="46">
        <f t="shared" si="1550"/>
        <v>0</v>
      </c>
      <c r="AX290" s="46">
        <f t="shared" si="1550"/>
        <v>0</v>
      </c>
      <c r="AY290" s="46">
        <f t="shared" si="1550"/>
        <v>0</v>
      </c>
      <c r="AZ290" s="46">
        <f t="shared" si="1550"/>
        <v>0</v>
      </c>
      <c r="BA290" s="46">
        <f t="shared" si="1550"/>
        <v>0</v>
      </c>
      <c r="BB290" s="46">
        <f t="shared" si="1550"/>
        <v>0</v>
      </c>
      <c r="BC290" s="46">
        <f t="shared" si="1550"/>
        <v>0</v>
      </c>
      <c r="BD290" s="46">
        <f t="shared" si="1550"/>
        <v>0</v>
      </c>
      <c r="BE290" s="46">
        <f t="shared" si="1550"/>
        <v>0</v>
      </c>
      <c r="BF290" s="46">
        <f t="shared" si="1550"/>
        <v>0</v>
      </c>
      <c r="BG290" s="46">
        <f t="shared" si="1550"/>
        <v>0</v>
      </c>
      <c r="BH290" s="46">
        <f t="shared" si="1550"/>
        <v>0</v>
      </c>
      <c r="BI290" s="46">
        <f t="shared" si="1550"/>
        <v>0</v>
      </c>
      <c r="BJ290" s="46">
        <f t="shared" si="1550"/>
        <v>0</v>
      </c>
      <c r="BK290" s="46">
        <f t="shared" si="1550"/>
        <v>0</v>
      </c>
      <c r="BL290" s="46">
        <f t="shared" si="1550"/>
        <v>0</v>
      </c>
      <c r="BM290" s="46">
        <f t="shared" si="1550"/>
        <v>0</v>
      </c>
      <c r="BN290" s="46">
        <f t="shared" si="1550"/>
        <v>0</v>
      </c>
      <c r="BO290" s="46">
        <f t="shared" si="1550"/>
        <v>0</v>
      </c>
      <c r="BP290" s="46">
        <f t="shared" si="1550"/>
        <v>0</v>
      </c>
      <c r="BQ290" s="46">
        <f t="shared" si="1550"/>
        <v>0</v>
      </c>
      <c r="BR290" s="46">
        <f t="shared" si="1550"/>
        <v>0</v>
      </c>
      <c r="BS290" s="46">
        <f t="shared" si="1550"/>
        <v>0</v>
      </c>
      <c r="BT290" s="46">
        <f t="shared" si="1550"/>
        <v>0</v>
      </c>
      <c r="BU290" s="46">
        <f t="shared" si="1550"/>
        <v>0</v>
      </c>
      <c r="BV290" s="46">
        <f t="shared" si="1550"/>
        <v>0</v>
      </c>
      <c r="BW290" s="46">
        <f t="shared" si="1550"/>
        <v>0</v>
      </c>
      <c r="BX290" s="6"/>
      <c r="BY290" s="6"/>
      <c r="BZ290" s="6"/>
      <c r="CA290" s="6"/>
      <c r="CB290" s="6"/>
      <c r="CC290" s="6"/>
      <c r="CD290" s="6"/>
      <c r="CE290" s="6"/>
      <c r="CF290" s="6"/>
      <c r="CG290" s="6"/>
    </row>
    <row r="291" spans="1:85" ht="15.75" customHeight="1">
      <c r="A291" s="71"/>
      <c r="B291" s="103"/>
      <c r="C291" s="68" t="s">
        <v>340</v>
      </c>
      <c r="D291" s="171" t="s">
        <v>444</v>
      </c>
      <c r="E291" s="99">
        <v>0</v>
      </c>
      <c r="F291" s="99">
        <v>0</v>
      </c>
      <c r="G291" s="58">
        <f>E291-F291</f>
        <v>0</v>
      </c>
      <c r="H291" s="99">
        <v>0</v>
      </c>
      <c r="I291" s="59">
        <f t="shared" si="1506"/>
        <v>0</v>
      </c>
      <c r="J291" s="59">
        <f t="shared" si="1507"/>
        <v>0</v>
      </c>
      <c r="K291" s="74">
        <v>0</v>
      </c>
      <c r="L291" s="74">
        <v>0</v>
      </c>
      <c r="M291" s="74">
        <v>0</v>
      </c>
      <c r="N291" s="74">
        <v>0</v>
      </c>
      <c r="O291" s="61">
        <f t="shared" ref="O291:Q291" si="1551">AA291+AD291+AG291+AJ291+AM291+AP291+AS291+AV291+AY291+BB291+BE291+BH291</f>
        <v>0</v>
      </c>
      <c r="P291" s="61">
        <f t="shared" si="1551"/>
        <v>0</v>
      </c>
      <c r="Q291" s="61">
        <f t="shared" si="1551"/>
        <v>0</v>
      </c>
      <c r="R291" s="61">
        <f t="shared" ref="R291:T291" si="1552">IF(BK291=0,SUM(AA291+AD291+AG291+AJ291+AM291+AP291+AS291+AV291+AY291+BB291+BE291+BH291),BK291)</f>
        <v>0</v>
      </c>
      <c r="S291" s="61">
        <f t="shared" si="1552"/>
        <v>0</v>
      </c>
      <c r="T291" s="61">
        <f t="shared" si="1552"/>
        <v>0</v>
      </c>
      <c r="U291" s="63">
        <f>K291-O291</f>
        <v>0</v>
      </c>
      <c r="V291" s="63">
        <f>L291-M291-S291</f>
        <v>0</v>
      </c>
      <c r="W291" s="63">
        <f>N291-Q291</f>
        <v>0</v>
      </c>
      <c r="X291" s="64">
        <f t="shared" ref="X291:Y291" si="1553">IF(O291&gt;0,O291/K291,0)</f>
        <v>0</v>
      </c>
      <c r="Y291" s="64">
        <f t="shared" si="1553"/>
        <v>0</v>
      </c>
      <c r="Z291" s="64">
        <f t="shared" si="1510"/>
        <v>0</v>
      </c>
      <c r="AA291" s="65"/>
      <c r="AB291" s="65"/>
      <c r="AC291" s="65"/>
      <c r="AD291" s="65"/>
      <c r="AE291" s="66"/>
      <c r="AF291" s="66"/>
      <c r="AG291" s="66"/>
      <c r="AH291" s="66"/>
      <c r="AI291" s="65"/>
      <c r="AJ291" s="65"/>
      <c r="AK291" s="65"/>
      <c r="AL291" s="65"/>
      <c r="AM291" s="65"/>
      <c r="AN291" s="65"/>
      <c r="AO291" s="65"/>
      <c r="AP291" s="65"/>
      <c r="AQ291" s="65"/>
      <c r="AR291" s="65"/>
      <c r="AS291" s="65"/>
      <c r="AT291" s="65"/>
      <c r="AU291" s="65"/>
      <c r="AV291" s="65"/>
      <c r="AW291" s="65"/>
      <c r="AX291" s="65"/>
      <c r="AY291" s="65"/>
      <c r="AZ291" s="65"/>
      <c r="BA291" s="65"/>
      <c r="BB291" s="65"/>
      <c r="BC291" s="65"/>
      <c r="BD291" s="65"/>
      <c r="BE291" s="65"/>
      <c r="BF291" s="65"/>
      <c r="BG291" s="65"/>
      <c r="BH291" s="65"/>
      <c r="BI291" s="65"/>
      <c r="BJ291" s="65"/>
      <c r="BK291" s="65">
        <v>0</v>
      </c>
      <c r="BL291" s="65">
        <v>0</v>
      </c>
      <c r="BM291" s="65">
        <v>0</v>
      </c>
      <c r="BN291" s="65">
        <f>IF(O291-BK291&gt;0,O291-BK291,0)</f>
        <v>0</v>
      </c>
      <c r="BO291" s="67">
        <f>IF(Q291-BM291&gt;0,Q291-BM291,0)</f>
        <v>0</v>
      </c>
      <c r="BP291" s="65">
        <f>IF(BN291+BO291&gt;0,BN291+BO291,0)</f>
        <v>0</v>
      </c>
      <c r="BQ291" s="65">
        <f>IF(U291=0,0,U291)</f>
        <v>0</v>
      </c>
      <c r="BR291" s="65">
        <f>IF(W291=0,0,W291)</f>
        <v>0</v>
      </c>
      <c r="BS291" s="65">
        <f>IF(BQ291+BR291&gt;0,BQ291+BR291,0)</f>
        <v>0</v>
      </c>
      <c r="BT291" s="65">
        <f>IF(V291&gt;0,V291,0)</f>
        <v>0</v>
      </c>
      <c r="BU291" s="65">
        <f>IF(BP291=0,0,BP291)</f>
        <v>0</v>
      </c>
      <c r="BV291" s="65">
        <f>IF(BS291=0,0,BS291)</f>
        <v>0</v>
      </c>
      <c r="BW291" s="65">
        <f>IF(BP291+BT291+BV291&gt;0,BP291+BT291+BV291,0)</f>
        <v>0</v>
      </c>
      <c r="BX291" s="6"/>
      <c r="BY291" s="6"/>
      <c r="BZ291" s="6"/>
      <c r="CA291" s="6"/>
      <c r="CB291" s="6"/>
      <c r="CC291" s="6"/>
      <c r="CD291" s="6"/>
      <c r="CE291" s="6"/>
      <c r="CF291" s="6"/>
      <c r="CG291" s="6"/>
    </row>
    <row r="292" spans="1:85" ht="15.75" customHeight="1">
      <c r="A292" s="296"/>
      <c r="B292" s="297"/>
      <c r="C292" s="297"/>
      <c r="D292" s="298" t="s">
        <v>137</v>
      </c>
      <c r="E292" s="299">
        <f t="shared" ref="E292:H292" si="1554">SUM(E293:E294)</f>
        <v>0</v>
      </c>
      <c r="F292" s="299">
        <f t="shared" si="1554"/>
        <v>0</v>
      </c>
      <c r="G292" s="299">
        <f t="shared" si="1554"/>
        <v>0</v>
      </c>
      <c r="H292" s="299">
        <f t="shared" si="1554"/>
        <v>0</v>
      </c>
      <c r="I292" s="300">
        <f t="shared" ref="I292:I294" si="1555">IF(G292&gt;0,K292/G292,0)</f>
        <v>0</v>
      </c>
      <c r="J292" s="300">
        <f t="shared" ref="J292:J294" si="1556">IF(G292&gt;0,O292/G292,0)</f>
        <v>0</v>
      </c>
      <c r="K292" s="301">
        <f t="shared" ref="K292:W292" si="1557">SUM(K293:K294)</f>
        <v>0</v>
      </c>
      <c r="L292" s="301">
        <f t="shared" si="1557"/>
        <v>2488.5700000000002</v>
      </c>
      <c r="M292" s="301">
        <f t="shared" si="1557"/>
        <v>0</v>
      </c>
      <c r="N292" s="301">
        <f t="shared" si="1557"/>
        <v>0</v>
      </c>
      <c r="O292" s="301">
        <f t="shared" si="1557"/>
        <v>0</v>
      </c>
      <c r="P292" s="301">
        <f t="shared" si="1557"/>
        <v>2488.5700000000002</v>
      </c>
      <c r="Q292" s="301">
        <f t="shared" si="1557"/>
        <v>0</v>
      </c>
      <c r="R292" s="301">
        <f t="shared" si="1557"/>
        <v>0</v>
      </c>
      <c r="S292" s="301">
        <f t="shared" si="1557"/>
        <v>2488.5700000000002</v>
      </c>
      <c r="T292" s="301">
        <f t="shared" si="1557"/>
        <v>0</v>
      </c>
      <c r="U292" s="299">
        <f t="shared" si="1557"/>
        <v>0</v>
      </c>
      <c r="V292" s="299">
        <f t="shared" si="1557"/>
        <v>0</v>
      </c>
      <c r="W292" s="301">
        <f t="shared" si="1557"/>
        <v>0</v>
      </c>
      <c r="X292" s="302">
        <f t="shared" ref="X292:Y292" si="1558">IF(O292&gt;0,O292/K292,0)</f>
        <v>0</v>
      </c>
      <c r="Y292" s="302">
        <f t="shared" si="1558"/>
        <v>1</v>
      </c>
      <c r="Z292" s="302">
        <f t="shared" ref="Z292:Z294" si="1559">IF(Q292&gt;0,Q292/N292,0)</f>
        <v>0</v>
      </c>
      <c r="AA292" s="301">
        <f t="shared" ref="AA292:BW292" si="1560">SUM(AA293:AA294)</f>
        <v>0</v>
      </c>
      <c r="AB292" s="301">
        <f t="shared" si="1560"/>
        <v>0</v>
      </c>
      <c r="AC292" s="301">
        <f t="shared" si="1560"/>
        <v>0</v>
      </c>
      <c r="AD292" s="301">
        <f t="shared" si="1560"/>
        <v>0</v>
      </c>
      <c r="AE292" s="301">
        <f t="shared" si="1560"/>
        <v>460.62</v>
      </c>
      <c r="AF292" s="301">
        <f t="shared" si="1560"/>
        <v>0</v>
      </c>
      <c r="AG292" s="301">
        <f t="shared" si="1560"/>
        <v>0</v>
      </c>
      <c r="AH292" s="301">
        <f t="shared" si="1560"/>
        <v>0</v>
      </c>
      <c r="AI292" s="301">
        <f t="shared" si="1560"/>
        <v>0</v>
      </c>
      <c r="AJ292" s="301">
        <f t="shared" si="1560"/>
        <v>0</v>
      </c>
      <c r="AK292" s="301">
        <f t="shared" si="1560"/>
        <v>2027.95</v>
      </c>
      <c r="AL292" s="301">
        <f t="shared" si="1560"/>
        <v>0</v>
      </c>
      <c r="AM292" s="301">
        <f t="shared" si="1560"/>
        <v>0</v>
      </c>
      <c r="AN292" s="301">
        <f t="shared" si="1560"/>
        <v>0</v>
      </c>
      <c r="AO292" s="301">
        <f t="shared" si="1560"/>
        <v>0</v>
      </c>
      <c r="AP292" s="301">
        <f t="shared" si="1560"/>
        <v>0</v>
      </c>
      <c r="AQ292" s="301">
        <f t="shared" si="1560"/>
        <v>0</v>
      </c>
      <c r="AR292" s="301">
        <f t="shared" si="1560"/>
        <v>0</v>
      </c>
      <c r="AS292" s="301">
        <f t="shared" si="1560"/>
        <v>0</v>
      </c>
      <c r="AT292" s="301">
        <f t="shared" si="1560"/>
        <v>0</v>
      </c>
      <c r="AU292" s="301">
        <f t="shared" si="1560"/>
        <v>0</v>
      </c>
      <c r="AV292" s="301">
        <f t="shared" si="1560"/>
        <v>0</v>
      </c>
      <c r="AW292" s="301">
        <f t="shared" si="1560"/>
        <v>0</v>
      </c>
      <c r="AX292" s="301">
        <f t="shared" si="1560"/>
        <v>0</v>
      </c>
      <c r="AY292" s="301">
        <f t="shared" si="1560"/>
        <v>0</v>
      </c>
      <c r="AZ292" s="301">
        <f t="shared" si="1560"/>
        <v>0</v>
      </c>
      <c r="BA292" s="301">
        <f t="shared" si="1560"/>
        <v>0</v>
      </c>
      <c r="BB292" s="301">
        <f t="shared" si="1560"/>
        <v>0</v>
      </c>
      <c r="BC292" s="301">
        <f t="shared" si="1560"/>
        <v>0</v>
      </c>
      <c r="BD292" s="301">
        <f t="shared" si="1560"/>
        <v>0</v>
      </c>
      <c r="BE292" s="301">
        <f t="shared" si="1560"/>
        <v>0</v>
      </c>
      <c r="BF292" s="301">
        <f t="shared" si="1560"/>
        <v>0</v>
      </c>
      <c r="BG292" s="301">
        <f t="shared" si="1560"/>
        <v>0</v>
      </c>
      <c r="BH292" s="301">
        <f t="shared" si="1560"/>
        <v>0</v>
      </c>
      <c r="BI292" s="301">
        <f t="shared" si="1560"/>
        <v>0</v>
      </c>
      <c r="BJ292" s="301">
        <f t="shared" si="1560"/>
        <v>0</v>
      </c>
      <c r="BK292" s="301">
        <f t="shared" si="1560"/>
        <v>0</v>
      </c>
      <c r="BL292" s="301">
        <f t="shared" si="1560"/>
        <v>0</v>
      </c>
      <c r="BM292" s="301">
        <f t="shared" si="1560"/>
        <v>0</v>
      </c>
      <c r="BN292" s="301">
        <f t="shared" si="1560"/>
        <v>0</v>
      </c>
      <c r="BO292" s="301">
        <f t="shared" si="1560"/>
        <v>0</v>
      </c>
      <c r="BP292" s="301">
        <f t="shared" si="1560"/>
        <v>0</v>
      </c>
      <c r="BQ292" s="301">
        <f t="shared" si="1560"/>
        <v>0</v>
      </c>
      <c r="BR292" s="301">
        <f t="shared" si="1560"/>
        <v>0</v>
      </c>
      <c r="BS292" s="301">
        <f t="shared" si="1560"/>
        <v>0</v>
      </c>
      <c r="BT292" s="301">
        <f t="shared" si="1560"/>
        <v>0</v>
      </c>
      <c r="BU292" s="301">
        <f t="shared" si="1560"/>
        <v>0</v>
      </c>
      <c r="BV292" s="301">
        <f t="shared" si="1560"/>
        <v>0</v>
      </c>
      <c r="BW292" s="301">
        <f t="shared" si="1560"/>
        <v>0</v>
      </c>
      <c r="BX292" s="136"/>
      <c r="BY292" s="136"/>
      <c r="BZ292" s="136"/>
      <c r="CA292" s="136"/>
      <c r="CB292" s="136"/>
      <c r="CC292" s="136"/>
      <c r="CD292" s="136"/>
      <c r="CE292" s="136"/>
      <c r="CF292" s="136"/>
      <c r="CG292" s="136"/>
    </row>
    <row r="293" spans="1:85" ht="15.75" customHeight="1">
      <c r="A293" s="311"/>
      <c r="B293" s="146" t="s">
        <v>445</v>
      </c>
      <c r="C293" s="146" t="s">
        <v>138</v>
      </c>
      <c r="D293" s="312" t="s">
        <v>446</v>
      </c>
      <c r="E293" s="149">
        <v>0</v>
      </c>
      <c r="F293" s="148">
        <v>0</v>
      </c>
      <c r="G293" s="149">
        <f t="shared" ref="G293:G294" si="1561">E293-F293</f>
        <v>0</v>
      </c>
      <c r="H293" s="148">
        <v>0</v>
      </c>
      <c r="I293" s="151">
        <f t="shared" si="1555"/>
        <v>0</v>
      </c>
      <c r="J293" s="151">
        <f t="shared" si="1556"/>
        <v>0</v>
      </c>
      <c r="K293" s="154">
        <v>0</v>
      </c>
      <c r="L293" s="152">
        <v>2027.95</v>
      </c>
      <c r="M293" s="154">
        <v>0</v>
      </c>
      <c r="N293" s="154">
        <v>0</v>
      </c>
      <c r="O293" s="155">
        <f t="shared" ref="O293:Q293" si="1562">AA293+AD293+AG293+AJ293+AM293+AP293+AS293+AV293+AY293+BB293+BE293+BH293</f>
        <v>0</v>
      </c>
      <c r="P293" s="155">
        <f t="shared" si="1562"/>
        <v>2027.95</v>
      </c>
      <c r="Q293" s="155">
        <f t="shared" si="1562"/>
        <v>0</v>
      </c>
      <c r="R293" s="155">
        <f t="shared" ref="R293:T293" si="1563">IF(BK293=0,SUM(AA293+AD293+AG293+AJ293+AM293+AP293+AS293+AV293+AY293+BB293+BE293+BH293),BK293)</f>
        <v>0</v>
      </c>
      <c r="S293" s="155">
        <f t="shared" si="1563"/>
        <v>2027.95</v>
      </c>
      <c r="T293" s="155">
        <f t="shared" si="1563"/>
        <v>0</v>
      </c>
      <c r="U293" s="156">
        <f t="shared" ref="U293:U294" si="1564">K293-O293</f>
        <v>0</v>
      </c>
      <c r="V293" s="63">
        <f t="shared" ref="V293:V294" si="1565">L293-M293-S293</f>
        <v>0</v>
      </c>
      <c r="W293" s="313">
        <f t="shared" ref="W293:W294" si="1566">N293-Q293</f>
        <v>0</v>
      </c>
      <c r="X293" s="157">
        <f t="shared" ref="X293:Y293" si="1567">IF(O293&gt;0,O293/K293,0)</f>
        <v>0</v>
      </c>
      <c r="Y293" s="157">
        <f t="shared" si="1567"/>
        <v>1</v>
      </c>
      <c r="Z293" s="157">
        <f t="shared" si="1559"/>
        <v>0</v>
      </c>
      <c r="AA293" s="158"/>
      <c r="AB293" s="152"/>
      <c r="AC293" s="158"/>
      <c r="AD293" s="158"/>
      <c r="AE293" s="159"/>
      <c r="AF293" s="159"/>
      <c r="AG293" s="159"/>
      <c r="AH293" s="152"/>
      <c r="AI293" s="152"/>
      <c r="AJ293" s="158"/>
      <c r="AK293" s="307">
        <v>2027.95</v>
      </c>
      <c r="AL293" s="158"/>
      <c r="AM293" s="158"/>
      <c r="AN293" s="152"/>
      <c r="AO293" s="158"/>
      <c r="AP293" s="158"/>
      <c r="AQ293" s="152"/>
      <c r="AR293" s="158"/>
      <c r="AS293" s="158"/>
      <c r="AT293" s="158"/>
      <c r="AU293" s="158"/>
      <c r="AV293" s="158"/>
      <c r="AW293" s="158"/>
      <c r="AX293" s="158"/>
      <c r="AY293" s="158"/>
      <c r="AZ293" s="158"/>
      <c r="BA293" s="158"/>
      <c r="BB293" s="158"/>
      <c r="BC293" s="158"/>
      <c r="BD293" s="158"/>
      <c r="BE293" s="158"/>
      <c r="BF293" s="158"/>
      <c r="BG293" s="158"/>
      <c r="BH293" s="158"/>
      <c r="BI293" s="158"/>
      <c r="BJ293" s="158"/>
      <c r="BK293" s="152">
        <v>0</v>
      </c>
      <c r="BL293" s="152">
        <v>0</v>
      </c>
      <c r="BM293" s="152">
        <v>0</v>
      </c>
      <c r="BN293" s="158">
        <f t="shared" ref="BN293:BN294" si="1568">IF(O293-BK293&gt;0,O293-BK293,0)</f>
        <v>0</v>
      </c>
      <c r="BO293" s="161">
        <f t="shared" ref="BO293:BO294" si="1569">IF(Q293-BM293&gt;0,Q293-BM293,0)</f>
        <v>0</v>
      </c>
      <c r="BP293" s="158">
        <f t="shared" ref="BP293:BP294" si="1570">IF(BN293+BO293&gt;0,BN293+BO293,0)</f>
        <v>0</v>
      </c>
      <c r="BQ293" s="158">
        <f t="shared" ref="BQ293:BQ294" si="1571">IF(U293=0,0,U293)</f>
        <v>0</v>
      </c>
      <c r="BR293" s="158">
        <f t="shared" ref="BR293:BR294" si="1572">IF(W293=0,0,W293)</f>
        <v>0</v>
      </c>
      <c r="BS293" s="158">
        <f t="shared" ref="BS293:BS294" si="1573">IF(BQ293+BR293&gt;0,BQ293+BR293,0)</f>
        <v>0</v>
      </c>
      <c r="BT293" s="158">
        <f t="shared" ref="BT293:BT294" si="1574">IF(V293&gt;0,V293,0)</f>
        <v>0</v>
      </c>
      <c r="BU293" s="158">
        <f t="shared" ref="BU293:BU294" si="1575">IF(BP293=0,0,BP293)</f>
        <v>0</v>
      </c>
      <c r="BV293" s="158">
        <f t="shared" ref="BV293:BV294" si="1576">IF(BS293=0,0,BS293)</f>
        <v>0</v>
      </c>
      <c r="BW293" s="158">
        <f t="shared" ref="BW293:BW294" si="1577">IF(BP293+BT293+BV293&gt;0,BP293+BT293+BV293,0)</f>
        <v>0</v>
      </c>
      <c r="BX293" s="136"/>
      <c r="BY293" s="136"/>
      <c r="BZ293" s="136"/>
      <c r="CA293" s="136"/>
      <c r="CB293" s="136"/>
      <c r="CC293" s="136"/>
      <c r="CD293" s="136"/>
      <c r="CE293" s="136"/>
      <c r="CF293" s="136"/>
      <c r="CG293" s="136"/>
    </row>
    <row r="294" spans="1:85" ht="15.75">
      <c r="A294" s="311"/>
      <c r="B294" s="146" t="s">
        <v>447</v>
      </c>
      <c r="C294" s="146" t="s">
        <v>138</v>
      </c>
      <c r="D294" s="312" t="s">
        <v>448</v>
      </c>
      <c r="E294" s="149">
        <v>0</v>
      </c>
      <c r="F294" s="148">
        <v>0</v>
      </c>
      <c r="G294" s="149">
        <f t="shared" si="1561"/>
        <v>0</v>
      </c>
      <c r="H294" s="148">
        <v>0</v>
      </c>
      <c r="I294" s="151">
        <f t="shared" si="1555"/>
        <v>0</v>
      </c>
      <c r="J294" s="151">
        <f t="shared" si="1556"/>
        <v>0</v>
      </c>
      <c r="K294" s="154">
        <v>0</v>
      </c>
      <c r="L294" s="158">
        <f>460.62</f>
        <v>460.62</v>
      </c>
      <c r="M294" s="154">
        <v>0</v>
      </c>
      <c r="N294" s="154">
        <v>0</v>
      </c>
      <c r="O294" s="155">
        <f t="shared" ref="O294:Q294" si="1578">AA294+AD294+AG294+AJ294+AM294+AP294+AS294+AV294+AY294+BB294+BE294+BH294</f>
        <v>0</v>
      </c>
      <c r="P294" s="155">
        <f t="shared" si="1578"/>
        <v>460.62</v>
      </c>
      <c r="Q294" s="155">
        <f t="shared" si="1578"/>
        <v>0</v>
      </c>
      <c r="R294" s="155">
        <f t="shared" ref="R294:T294" si="1579">IF(BK294=0,SUM(AA294+AD294+AG294+AJ294+AM294+AP294+AS294+AV294+AY294+BB294+BE294+BH294),BK294)</f>
        <v>0</v>
      </c>
      <c r="S294" s="155">
        <f t="shared" si="1579"/>
        <v>460.62</v>
      </c>
      <c r="T294" s="155">
        <f t="shared" si="1579"/>
        <v>0</v>
      </c>
      <c r="U294" s="156">
        <f t="shared" si="1564"/>
        <v>0</v>
      </c>
      <c r="V294" s="63">
        <f t="shared" si="1565"/>
        <v>0</v>
      </c>
      <c r="W294" s="313">
        <f t="shared" si="1566"/>
        <v>0</v>
      </c>
      <c r="X294" s="157">
        <f t="shared" ref="X294:Y294" si="1580">IF(O294&gt;0,O294/K294,0)</f>
        <v>0</v>
      </c>
      <c r="Y294" s="157">
        <f t="shared" si="1580"/>
        <v>1</v>
      </c>
      <c r="Z294" s="157">
        <f t="shared" si="1559"/>
        <v>0</v>
      </c>
      <c r="AA294" s="158"/>
      <c r="AB294" s="152"/>
      <c r="AC294" s="158"/>
      <c r="AD294" s="158"/>
      <c r="AE294" s="166">
        <v>460.62</v>
      </c>
      <c r="AF294" s="159"/>
      <c r="AG294" s="159"/>
      <c r="AH294" s="152"/>
      <c r="AI294" s="152"/>
      <c r="AJ294" s="158"/>
      <c r="AK294" s="152"/>
      <c r="AL294" s="158"/>
      <c r="AM294" s="158"/>
      <c r="AN294" s="152"/>
      <c r="AO294" s="158"/>
      <c r="AP294" s="158"/>
      <c r="AQ294" s="152"/>
      <c r="AR294" s="158"/>
      <c r="AS294" s="158"/>
      <c r="AT294" s="158"/>
      <c r="AU294" s="158"/>
      <c r="AV294" s="158"/>
      <c r="AW294" s="158"/>
      <c r="AX294" s="158"/>
      <c r="AY294" s="158"/>
      <c r="AZ294" s="158"/>
      <c r="BA294" s="158"/>
      <c r="BB294" s="158"/>
      <c r="BC294" s="158"/>
      <c r="BD294" s="158"/>
      <c r="BE294" s="158"/>
      <c r="BF294" s="158"/>
      <c r="BG294" s="158"/>
      <c r="BH294" s="158"/>
      <c r="BI294" s="158"/>
      <c r="BJ294" s="158"/>
      <c r="BK294" s="152">
        <v>0</v>
      </c>
      <c r="BL294" s="307">
        <v>0</v>
      </c>
      <c r="BM294" s="152">
        <v>0</v>
      </c>
      <c r="BN294" s="158">
        <f t="shared" si="1568"/>
        <v>0</v>
      </c>
      <c r="BO294" s="161">
        <f t="shared" si="1569"/>
        <v>0</v>
      </c>
      <c r="BP294" s="158">
        <f t="shared" si="1570"/>
        <v>0</v>
      </c>
      <c r="BQ294" s="158">
        <f t="shared" si="1571"/>
        <v>0</v>
      </c>
      <c r="BR294" s="158">
        <f t="shared" si="1572"/>
        <v>0</v>
      </c>
      <c r="BS294" s="158">
        <f t="shared" si="1573"/>
        <v>0</v>
      </c>
      <c r="BT294" s="158">
        <f t="shared" si="1574"/>
        <v>0</v>
      </c>
      <c r="BU294" s="158">
        <f t="shared" si="1575"/>
        <v>0</v>
      </c>
      <c r="BV294" s="158">
        <f t="shared" si="1576"/>
        <v>0</v>
      </c>
      <c r="BW294" s="158">
        <f t="shared" si="1577"/>
        <v>0</v>
      </c>
      <c r="BX294" s="136"/>
      <c r="BY294" s="136"/>
      <c r="BZ294" s="136"/>
      <c r="CA294" s="136"/>
      <c r="CB294" s="136"/>
      <c r="CC294" s="136"/>
      <c r="CD294" s="136"/>
      <c r="CE294" s="136"/>
      <c r="CF294" s="136"/>
      <c r="CG294" s="136"/>
    </row>
    <row r="295" spans="1:85" ht="15.75">
      <c r="A295" s="75"/>
      <c r="B295" s="76"/>
      <c r="C295" s="77"/>
      <c r="D295" s="78" t="s">
        <v>168</v>
      </c>
      <c r="E295" s="45">
        <f t="shared" ref="E295:H295" si="1581">SUM(E296:E303)</f>
        <v>15000</v>
      </c>
      <c r="F295" s="45">
        <f t="shared" si="1581"/>
        <v>0</v>
      </c>
      <c r="G295" s="45">
        <f t="shared" si="1581"/>
        <v>15000</v>
      </c>
      <c r="H295" s="45">
        <f t="shared" si="1581"/>
        <v>0</v>
      </c>
      <c r="I295" s="47">
        <f t="shared" ref="I295:I421" si="1582">IF(G295&gt;0,K295/G295,0)</f>
        <v>0.70334666666666668</v>
      </c>
      <c r="J295" s="47">
        <f t="shared" ref="J295:J421" si="1583">IF(G295&gt;0,O295/G295,0)</f>
        <v>0.11417133333333333</v>
      </c>
      <c r="K295" s="45">
        <f t="shared" ref="K295:W295" si="1584">SUM(K296:K303)</f>
        <v>10550.2</v>
      </c>
      <c r="L295" s="45">
        <f t="shared" si="1584"/>
        <v>63719.92</v>
      </c>
      <c r="M295" s="45">
        <f t="shared" si="1584"/>
        <v>0</v>
      </c>
      <c r="N295" s="45">
        <f t="shared" si="1584"/>
        <v>0</v>
      </c>
      <c r="O295" s="45">
        <f t="shared" si="1584"/>
        <v>1712.57</v>
      </c>
      <c r="P295" s="45">
        <f t="shared" si="1584"/>
        <v>0</v>
      </c>
      <c r="Q295" s="45">
        <f t="shared" si="1584"/>
        <v>0</v>
      </c>
      <c r="R295" s="45">
        <f t="shared" si="1584"/>
        <v>1712.57</v>
      </c>
      <c r="S295" s="45">
        <f t="shared" si="1584"/>
        <v>0</v>
      </c>
      <c r="T295" s="45">
        <f t="shared" si="1584"/>
        <v>0</v>
      </c>
      <c r="U295" s="45">
        <f t="shared" si="1584"/>
        <v>8837.630000000001</v>
      </c>
      <c r="V295" s="45">
        <f t="shared" si="1584"/>
        <v>63719.92</v>
      </c>
      <c r="W295" s="45">
        <f t="shared" si="1584"/>
        <v>0</v>
      </c>
      <c r="X295" s="50">
        <f t="shared" ref="X295:Y295" si="1585">IF(O295&gt;0,O295/K295,0)</f>
        <v>0.16232583268563627</v>
      </c>
      <c r="Y295" s="50">
        <f t="shared" si="1585"/>
        <v>0</v>
      </c>
      <c r="Z295" s="50">
        <f t="shared" ref="Z295:Z301" si="1586">IF(Q295&gt;0,Q295/N295,0)</f>
        <v>0</v>
      </c>
      <c r="AA295" s="45">
        <f t="shared" ref="AA295:BW295" si="1587">SUM(AA296:AA303)</f>
        <v>0</v>
      </c>
      <c r="AB295" s="45">
        <f t="shared" si="1587"/>
        <v>0</v>
      </c>
      <c r="AC295" s="45">
        <f t="shared" si="1587"/>
        <v>0</v>
      </c>
      <c r="AD295" s="45">
        <f t="shared" si="1587"/>
        <v>0</v>
      </c>
      <c r="AE295" s="45">
        <f t="shared" si="1587"/>
        <v>0</v>
      </c>
      <c r="AF295" s="45">
        <f t="shared" si="1587"/>
        <v>0</v>
      </c>
      <c r="AG295" s="45">
        <f t="shared" si="1587"/>
        <v>0</v>
      </c>
      <c r="AH295" s="45">
        <f t="shared" si="1587"/>
        <v>0</v>
      </c>
      <c r="AI295" s="45">
        <f t="shared" si="1587"/>
        <v>0</v>
      </c>
      <c r="AJ295" s="45">
        <f t="shared" si="1587"/>
        <v>0</v>
      </c>
      <c r="AK295" s="45">
        <f t="shared" si="1587"/>
        <v>0</v>
      </c>
      <c r="AL295" s="45">
        <f t="shared" si="1587"/>
        <v>0</v>
      </c>
      <c r="AM295" s="45">
        <f t="shared" si="1587"/>
        <v>1712.57</v>
      </c>
      <c r="AN295" s="45">
        <f t="shared" si="1587"/>
        <v>0</v>
      </c>
      <c r="AO295" s="45">
        <f t="shared" si="1587"/>
        <v>0</v>
      </c>
      <c r="AP295" s="45">
        <f t="shared" si="1587"/>
        <v>0</v>
      </c>
      <c r="AQ295" s="45">
        <f t="shared" si="1587"/>
        <v>0</v>
      </c>
      <c r="AR295" s="45">
        <f t="shared" si="1587"/>
        <v>0</v>
      </c>
      <c r="AS295" s="45">
        <f t="shared" si="1587"/>
        <v>0</v>
      </c>
      <c r="AT295" s="45">
        <f t="shared" si="1587"/>
        <v>0</v>
      </c>
      <c r="AU295" s="45">
        <f t="shared" si="1587"/>
        <v>0</v>
      </c>
      <c r="AV295" s="45">
        <f t="shared" si="1587"/>
        <v>0</v>
      </c>
      <c r="AW295" s="45">
        <f t="shared" si="1587"/>
        <v>0</v>
      </c>
      <c r="AX295" s="45">
        <f t="shared" si="1587"/>
        <v>0</v>
      </c>
      <c r="AY295" s="45">
        <f t="shared" si="1587"/>
        <v>0</v>
      </c>
      <c r="AZ295" s="45">
        <f t="shared" si="1587"/>
        <v>0</v>
      </c>
      <c r="BA295" s="45">
        <f t="shared" si="1587"/>
        <v>0</v>
      </c>
      <c r="BB295" s="45">
        <f t="shared" si="1587"/>
        <v>0</v>
      </c>
      <c r="BC295" s="45">
        <f t="shared" si="1587"/>
        <v>0</v>
      </c>
      <c r="BD295" s="45">
        <f t="shared" si="1587"/>
        <v>0</v>
      </c>
      <c r="BE295" s="45">
        <f t="shared" si="1587"/>
        <v>0</v>
      </c>
      <c r="BF295" s="45">
        <f t="shared" si="1587"/>
        <v>0</v>
      </c>
      <c r="BG295" s="45">
        <f t="shared" si="1587"/>
        <v>0</v>
      </c>
      <c r="BH295" s="45">
        <f t="shared" si="1587"/>
        <v>0</v>
      </c>
      <c r="BI295" s="45">
        <f t="shared" si="1587"/>
        <v>0</v>
      </c>
      <c r="BJ295" s="45">
        <f t="shared" si="1587"/>
        <v>0</v>
      </c>
      <c r="BK295" s="45">
        <f t="shared" si="1587"/>
        <v>0</v>
      </c>
      <c r="BL295" s="45">
        <f t="shared" si="1587"/>
        <v>0</v>
      </c>
      <c r="BM295" s="45">
        <f t="shared" si="1587"/>
        <v>0</v>
      </c>
      <c r="BN295" s="45">
        <f t="shared" si="1587"/>
        <v>1712.57</v>
      </c>
      <c r="BO295" s="45">
        <f t="shared" si="1587"/>
        <v>0</v>
      </c>
      <c r="BP295" s="45">
        <f t="shared" si="1587"/>
        <v>1712.57</v>
      </c>
      <c r="BQ295" s="45">
        <f t="shared" si="1587"/>
        <v>8837.630000000001</v>
      </c>
      <c r="BR295" s="45">
        <f t="shared" si="1587"/>
        <v>0</v>
      </c>
      <c r="BS295" s="45">
        <f t="shared" si="1587"/>
        <v>8837.630000000001</v>
      </c>
      <c r="BT295" s="45">
        <f t="shared" si="1587"/>
        <v>63719.92</v>
      </c>
      <c r="BU295" s="45">
        <f t="shared" si="1587"/>
        <v>1712.57</v>
      </c>
      <c r="BV295" s="45">
        <f t="shared" si="1587"/>
        <v>8837.630000000001</v>
      </c>
      <c r="BW295" s="45">
        <f t="shared" si="1587"/>
        <v>74270.12</v>
      </c>
      <c r="BX295" s="51"/>
      <c r="BY295" s="51"/>
      <c r="BZ295" s="51"/>
      <c r="CA295" s="51"/>
      <c r="CB295" s="51"/>
      <c r="CC295" s="51"/>
      <c r="CD295" s="51"/>
      <c r="CE295" s="51"/>
      <c r="CF295" s="51"/>
      <c r="CG295" s="51"/>
    </row>
    <row r="296" spans="1:85" ht="15.75" customHeight="1">
      <c r="A296" s="121"/>
      <c r="B296" s="168" t="s">
        <v>449</v>
      </c>
      <c r="C296" s="68" t="s">
        <v>170</v>
      </c>
      <c r="D296" s="70" t="s">
        <v>450</v>
      </c>
      <c r="E296" s="99">
        <v>0</v>
      </c>
      <c r="F296" s="99">
        <v>0</v>
      </c>
      <c r="G296" s="58">
        <f t="shared" ref="G296:G303" si="1588">E296-F296</f>
        <v>0</v>
      </c>
      <c r="H296" s="99">
        <v>0</v>
      </c>
      <c r="I296" s="59">
        <f t="shared" si="1582"/>
        <v>0</v>
      </c>
      <c r="J296" s="59">
        <f t="shared" si="1583"/>
        <v>0</v>
      </c>
      <c r="K296" s="60">
        <v>0</v>
      </c>
      <c r="L296" s="100">
        <v>55463.32</v>
      </c>
      <c r="M296" s="100">
        <v>0</v>
      </c>
      <c r="N296" s="60">
        <v>0</v>
      </c>
      <c r="O296" s="61">
        <f t="shared" ref="O296:Q296" si="1589">AA296+AD296+AG296+AJ296+AM296+AP296+AS296+AV296+AY296+BB296+BE296+BH296</f>
        <v>0</v>
      </c>
      <c r="P296" s="61">
        <f t="shared" si="1589"/>
        <v>0</v>
      </c>
      <c r="Q296" s="61">
        <f t="shared" si="1589"/>
        <v>0</v>
      </c>
      <c r="R296" s="61">
        <f t="shared" ref="R296:T296" si="1590">IF(BK296=0,SUM(AA296+AD296+AG296+AJ296+AM296+AP296+AS296+AV296+AY296+BB296+BE296+BH296),BK296)</f>
        <v>0</v>
      </c>
      <c r="S296" s="61">
        <f t="shared" si="1590"/>
        <v>0</v>
      </c>
      <c r="T296" s="61">
        <f t="shared" si="1590"/>
        <v>0</v>
      </c>
      <c r="U296" s="63">
        <f t="shared" ref="U296:U303" si="1591">K296-O296</f>
        <v>0</v>
      </c>
      <c r="V296" s="170">
        <f t="shared" ref="V296:V303" si="1592">L296-M296-S296</f>
        <v>55463.32</v>
      </c>
      <c r="W296" s="63">
        <f t="shared" ref="W296:W303" si="1593">N296-Q296</f>
        <v>0</v>
      </c>
      <c r="X296" s="64">
        <f t="shared" ref="X296:Y296" si="1594">IF(O296&gt;0,O296/K296,0)</f>
        <v>0</v>
      </c>
      <c r="Y296" s="64">
        <f t="shared" si="1594"/>
        <v>0</v>
      </c>
      <c r="Z296" s="64">
        <f t="shared" si="1586"/>
        <v>0</v>
      </c>
      <c r="AA296" s="65"/>
      <c r="AB296" s="65"/>
      <c r="AC296" s="65"/>
      <c r="AD296" s="65"/>
      <c r="AE296" s="66"/>
      <c r="AF296" s="66"/>
      <c r="AG296" s="66"/>
      <c r="AH296" s="66"/>
      <c r="AI296" s="65"/>
      <c r="AJ296" s="65"/>
      <c r="AK296" s="65"/>
      <c r="AL296" s="65"/>
      <c r="AM296" s="65"/>
      <c r="AN296" s="65"/>
      <c r="AO296" s="65"/>
      <c r="AP296" s="65"/>
      <c r="AQ296" s="65"/>
      <c r="AR296" s="65"/>
      <c r="AS296" s="65"/>
      <c r="AT296" s="65"/>
      <c r="AU296" s="65"/>
      <c r="AV296" s="65"/>
      <c r="AW296" s="65"/>
      <c r="AX296" s="65"/>
      <c r="AY296" s="65"/>
      <c r="AZ296" s="65"/>
      <c r="BA296" s="65"/>
      <c r="BB296" s="65"/>
      <c r="BC296" s="65"/>
      <c r="BD296" s="65"/>
      <c r="BE296" s="65"/>
      <c r="BF296" s="65"/>
      <c r="BG296" s="65"/>
      <c r="BH296" s="65"/>
      <c r="BI296" s="65"/>
      <c r="BJ296" s="65"/>
      <c r="BK296" s="65">
        <v>0</v>
      </c>
      <c r="BL296" s="65">
        <v>0</v>
      </c>
      <c r="BM296" s="65">
        <v>0</v>
      </c>
      <c r="BN296" s="65">
        <f t="shared" ref="BN296:BN303" si="1595">IF(O296-BK296&gt;0,O296-BK296,0)</f>
        <v>0</v>
      </c>
      <c r="BO296" s="67">
        <f t="shared" ref="BO296:BO303" si="1596">IF(Q296-BM296&gt;0,Q296-BM296,0)</f>
        <v>0</v>
      </c>
      <c r="BP296" s="65">
        <f t="shared" ref="BP296:BP303" si="1597">IF(BN296+BO296&gt;0,BN296+BO296,0)</f>
        <v>0</v>
      </c>
      <c r="BQ296" s="65">
        <f t="shared" ref="BQ296:BQ303" si="1598">IF(U296=0,0,U296)</f>
        <v>0</v>
      </c>
      <c r="BR296" s="65">
        <f t="shared" ref="BR296:BR303" si="1599">IF(W296=0,0,W296)</f>
        <v>0</v>
      </c>
      <c r="BS296" s="65">
        <f t="shared" ref="BS296:BS303" si="1600">IF(BQ296+BR296&gt;0,BQ296+BR296,0)</f>
        <v>0</v>
      </c>
      <c r="BT296" s="65">
        <f t="shared" ref="BT296:BT303" si="1601">IF(V296&gt;0,V296,0)</f>
        <v>55463.32</v>
      </c>
      <c r="BU296" s="65">
        <f t="shared" ref="BU296:BU303" si="1602">IF(BP296=0,0,BP296)</f>
        <v>0</v>
      </c>
      <c r="BV296" s="65">
        <f t="shared" ref="BV296:BV303" si="1603">IF(BS296=0,0,BS296)</f>
        <v>0</v>
      </c>
      <c r="BW296" s="65">
        <f t="shared" ref="BW296:BW303" si="1604">IF(BP296+BT296+BV296&gt;0,BP296+BT296+BV296,0)</f>
        <v>55463.32</v>
      </c>
      <c r="BX296" s="6"/>
      <c r="BY296" s="6"/>
      <c r="BZ296" s="6"/>
      <c r="CA296" s="6"/>
      <c r="CB296" s="6"/>
      <c r="CC296" s="6"/>
      <c r="CD296" s="6"/>
      <c r="CE296" s="6"/>
      <c r="CF296" s="6"/>
      <c r="CG296" s="6"/>
    </row>
    <row r="297" spans="1:85" ht="15.75" customHeight="1">
      <c r="A297" s="121"/>
      <c r="B297" s="169" t="s">
        <v>451</v>
      </c>
      <c r="C297" s="68" t="s">
        <v>170</v>
      </c>
      <c r="D297" s="70" t="s">
        <v>450</v>
      </c>
      <c r="E297" s="99">
        <v>0</v>
      </c>
      <c r="F297" s="99">
        <v>0</v>
      </c>
      <c r="G297" s="58">
        <f t="shared" si="1588"/>
        <v>0</v>
      </c>
      <c r="H297" s="99">
        <v>0</v>
      </c>
      <c r="I297" s="59">
        <f t="shared" si="1582"/>
        <v>0</v>
      </c>
      <c r="J297" s="59">
        <f t="shared" si="1583"/>
        <v>0</v>
      </c>
      <c r="K297" s="60">
        <v>0</v>
      </c>
      <c r="L297" s="65">
        <v>8256.6</v>
      </c>
      <c r="M297" s="100">
        <v>0</v>
      </c>
      <c r="N297" s="60">
        <v>0</v>
      </c>
      <c r="O297" s="61">
        <f t="shared" ref="O297:Q297" si="1605">AA297+AD297+AG297+AJ297+AM297+AP297+AS297+AV297+AY297+BB297+BE297+BH297</f>
        <v>0</v>
      </c>
      <c r="P297" s="61">
        <f t="shared" si="1605"/>
        <v>0</v>
      </c>
      <c r="Q297" s="61">
        <f t="shared" si="1605"/>
        <v>0</v>
      </c>
      <c r="R297" s="61">
        <f t="shared" ref="R297:T297" si="1606">IF(BK297=0,SUM(AA297+AD297+AG297+AJ297+AM297+AP297+AS297+AV297+AY297+BB297+BE297+BH297),BK297)</f>
        <v>0</v>
      </c>
      <c r="S297" s="61">
        <f t="shared" si="1606"/>
        <v>0</v>
      </c>
      <c r="T297" s="61">
        <f t="shared" si="1606"/>
        <v>0</v>
      </c>
      <c r="U297" s="63">
        <f t="shared" si="1591"/>
        <v>0</v>
      </c>
      <c r="V297" s="170">
        <f t="shared" si="1592"/>
        <v>8256.6</v>
      </c>
      <c r="W297" s="63">
        <f t="shared" si="1593"/>
        <v>0</v>
      </c>
      <c r="X297" s="64">
        <f t="shared" ref="X297:Y297" si="1607">IF(O297&gt;0,O297/K297,0)</f>
        <v>0</v>
      </c>
      <c r="Y297" s="64">
        <f t="shared" si="1607"/>
        <v>0</v>
      </c>
      <c r="Z297" s="64">
        <f t="shared" si="1586"/>
        <v>0</v>
      </c>
      <c r="AA297" s="65"/>
      <c r="AB297" s="65"/>
      <c r="AC297" s="65"/>
      <c r="AD297" s="65"/>
      <c r="AE297" s="66"/>
      <c r="AF297" s="66"/>
      <c r="AG297" s="66"/>
      <c r="AH297" s="66"/>
      <c r="AI297" s="65"/>
      <c r="AJ297" s="65"/>
      <c r="AK297" s="65"/>
      <c r="AL297" s="65"/>
      <c r="AM297" s="65"/>
      <c r="AN297" s="65"/>
      <c r="AO297" s="65"/>
      <c r="AP297" s="65"/>
      <c r="AQ297" s="65"/>
      <c r="AR297" s="65"/>
      <c r="AS297" s="65"/>
      <c r="AT297" s="65"/>
      <c r="AU297" s="65"/>
      <c r="AV297" s="65"/>
      <c r="AW297" s="65"/>
      <c r="AX297" s="65"/>
      <c r="AY297" s="65"/>
      <c r="AZ297" s="65"/>
      <c r="BA297" s="65"/>
      <c r="BB297" s="65"/>
      <c r="BC297" s="65"/>
      <c r="BD297" s="65"/>
      <c r="BE297" s="65"/>
      <c r="BF297" s="65"/>
      <c r="BG297" s="65"/>
      <c r="BH297" s="65"/>
      <c r="BI297" s="65"/>
      <c r="BJ297" s="65"/>
      <c r="BK297" s="65">
        <v>0</v>
      </c>
      <c r="BL297" s="65">
        <v>0</v>
      </c>
      <c r="BM297" s="65">
        <v>0</v>
      </c>
      <c r="BN297" s="65">
        <f t="shared" si="1595"/>
        <v>0</v>
      </c>
      <c r="BO297" s="67">
        <f t="shared" si="1596"/>
        <v>0</v>
      </c>
      <c r="BP297" s="65">
        <f t="shared" si="1597"/>
        <v>0</v>
      </c>
      <c r="BQ297" s="65">
        <f t="shared" si="1598"/>
        <v>0</v>
      </c>
      <c r="BR297" s="65">
        <f t="shared" si="1599"/>
        <v>0</v>
      </c>
      <c r="BS297" s="65">
        <f t="shared" si="1600"/>
        <v>0</v>
      </c>
      <c r="BT297" s="65">
        <f t="shared" si="1601"/>
        <v>8256.6</v>
      </c>
      <c r="BU297" s="65">
        <f t="shared" si="1602"/>
        <v>0</v>
      </c>
      <c r="BV297" s="65">
        <f t="shared" si="1603"/>
        <v>0</v>
      </c>
      <c r="BW297" s="65">
        <f t="shared" si="1604"/>
        <v>8256.6</v>
      </c>
      <c r="BX297" s="6"/>
      <c r="BY297" s="6"/>
      <c r="BZ297" s="6"/>
      <c r="CA297" s="6"/>
      <c r="CB297" s="6"/>
      <c r="CC297" s="6"/>
      <c r="CD297" s="6"/>
      <c r="CE297" s="6"/>
      <c r="CF297" s="6"/>
      <c r="CG297" s="6"/>
    </row>
    <row r="298" spans="1:85" ht="15.75" customHeight="1">
      <c r="A298" s="54"/>
      <c r="B298" s="103"/>
      <c r="C298" s="68" t="s">
        <v>181</v>
      </c>
      <c r="D298" s="70" t="s">
        <v>452</v>
      </c>
      <c r="E298" s="56">
        <v>15000</v>
      </c>
      <c r="F298" s="99">
        <v>0</v>
      </c>
      <c r="G298" s="58">
        <f t="shared" si="1588"/>
        <v>15000</v>
      </c>
      <c r="H298" s="99">
        <v>0</v>
      </c>
      <c r="I298" s="59">
        <f t="shared" si="1582"/>
        <v>0</v>
      </c>
      <c r="J298" s="59">
        <f t="shared" si="1583"/>
        <v>0</v>
      </c>
      <c r="K298" s="74">
        <v>0</v>
      </c>
      <c r="L298" s="74">
        <v>0</v>
      </c>
      <c r="M298" s="74">
        <v>0</v>
      </c>
      <c r="N298" s="74">
        <v>0</v>
      </c>
      <c r="O298" s="61">
        <f t="shared" ref="O298:Q298" si="1608">AA298+AD298+AG298+AJ298+AM298+AP298+AS298+AV298+AY298+BB298+BE298+BH298</f>
        <v>0</v>
      </c>
      <c r="P298" s="61">
        <f t="shared" si="1608"/>
        <v>0</v>
      </c>
      <c r="Q298" s="61">
        <f t="shared" si="1608"/>
        <v>0</v>
      </c>
      <c r="R298" s="61">
        <f t="shared" ref="R298:T298" si="1609">IF(BK298=0,SUM(AA298+AD298+AG298+AJ298+AM298+AP298+AS298+AV298+AY298+BB298+BE298+BH298),BK298)</f>
        <v>0</v>
      </c>
      <c r="S298" s="61">
        <f t="shared" si="1609"/>
        <v>0</v>
      </c>
      <c r="T298" s="61">
        <f t="shared" si="1609"/>
        <v>0</v>
      </c>
      <c r="U298" s="63">
        <f t="shared" si="1591"/>
        <v>0</v>
      </c>
      <c r="V298" s="63">
        <f t="shared" si="1592"/>
        <v>0</v>
      </c>
      <c r="W298" s="63">
        <f t="shared" si="1593"/>
        <v>0</v>
      </c>
      <c r="X298" s="64">
        <f t="shared" ref="X298:Y298" si="1610">IF(O298&gt;0,O298/K298,0)</f>
        <v>0</v>
      </c>
      <c r="Y298" s="64">
        <f t="shared" si="1610"/>
        <v>0</v>
      </c>
      <c r="Z298" s="64">
        <f t="shared" si="1586"/>
        <v>0</v>
      </c>
      <c r="AA298" s="65"/>
      <c r="AB298" s="65"/>
      <c r="AC298" s="65"/>
      <c r="AD298" s="65"/>
      <c r="AE298" s="66"/>
      <c r="AF298" s="66"/>
      <c r="AG298" s="66"/>
      <c r="AH298" s="66"/>
      <c r="AI298" s="65"/>
      <c r="AJ298" s="65"/>
      <c r="AK298" s="65"/>
      <c r="AL298" s="65"/>
      <c r="AM298" s="65"/>
      <c r="AN298" s="65"/>
      <c r="AO298" s="65"/>
      <c r="AP298" s="65"/>
      <c r="AQ298" s="65"/>
      <c r="AR298" s="65"/>
      <c r="AS298" s="65"/>
      <c r="AT298" s="65"/>
      <c r="AU298" s="65"/>
      <c r="AV298" s="65"/>
      <c r="AW298" s="65"/>
      <c r="AX298" s="65"/>
      <c r="AY298" s="65"/>
      <c r="AZ298" s="65"/>
      <c r="BA298" s="65"/>
      <c r="BB298" s="65"/>
      <c r="BC298" s="65"/>
      <c r="BD298" s="65"/>
      <c r="BE298" s="65"/>
      <c r="BF298" s="65"/>
      <c r="BG298" s="65"/>
      <c r="BH298" s="65"/>
      <c r="BI298" s="65"/>
      <c r="BJ298" s="65"/>
      <c r="BK298" s="65">
        <v>0</v>
      </c>
      <c r="BL298" s="65">
        <v>0</v>
      </c>
      <c r="BM298" s="65">
        <v>0</v>
      </c>
      <c r="BN298" s="65">
        <f t="shared" si="1595"/>
        <v>0</v>
      </c>
      <c r="BO298" s="67">
        <f t="shared" si="1596"/>
        <v>0</v>
      </c>
      <c r="BP298" s="65">
        <f t="shared" si="1597"/>
        <v>0</v>
      </c>
      <c r="BQ298" s="65">
        <f t="shared" si="1598"/>
        <v>0</v>
      </c>
      <c r="BR298" s="65">
        <f t="shared" si="1599"/>
        <v>0</v>
      </c>
      <c r="BS298" s="65">
        <f t="shared" si="1600"/>
        <v>0</v>
      </c>
      <c r="BT298" s="65">
        <f t="shared" si="1601"/>
        <v>0</v>
      </c>
      <c r="BU298" s="65">
        <f t="shared" si="1602"/>
        <v>0</v>
      </c>
      <c r="BV298" s="65">
        <f t="shared" si="1603"/>
        <v>0</v>
      </c>
      <c r="BW298" s="65">
        <f t="shared" si="1604"/>
        <v>0</v>
      </c>
      <c r="BX298" s="6"/>
      <c r="BY298" s="6"/>
      <c r="BZ298" s="6"/>
      <c r="CA298" s="6"/>
      <c r="CB298" s="6"/>
      <c r="CC298" s="6"/>
      <c r="CD298" s="6"/>
      <c r="CE298" s="6"/>
      <c r="CF298" s="6"/>
      <c r="CG298" s="6"/>
    </row>
    <row r="299" spans="1:85" ht="15.75" customHeight="1">
      <c r="A299" s="68"/>
      <c r="B299" s="103"/>
      <c r="C299" s="68" t="s">
        <v>316</v>
      </c>
      <c r="D299" s="70" t="s">
        <v>453</v>
      </c>
      <c r="E299" s="99">
        <v>0</v>
      </c>
      <c r="F299" s="99">
        <v>0</v>
      </c>
      <c r="G299" s="58">
        <f t="shared" si="1588"/>
        <v>0</v>
      </c>
      <c r="H299" s="99">
        <v>0</v>
      </c>
      <c r="I299" s="59">
        <f t="shared" si="1582"/>
        <v>0</v>
      </c>
      <c r="J299" s="59">
        <f t="shared" si="1583"/>
        <v>0</v>
      </c>
      <c r="K299" s="74">
        <v>0</v>
      </c>
      <c r="L299" s="74">
        <v>0</v>
      </c>
      <c r="M299" s="74">
        <v>0</v>
      </c>
      <c r="N299" s="74">
        <v>0</v>
      </c>
      <c r="O299" s="61">
        <f t="shared" ref="O299:Q299" si="1611">AA299+AD299+AG299+AJ299+AM299+AP299+AS299+AV299+AY299+BB299+BE299+BH299</f>
        <v>0</v>
      </c>
      <c r="P299" s="61">
        <f t="shared" si="1611"/>
        <v>0</v>
      </c>
      <c r="Q299" s="61">
        <f t="shared" si="1611"/>
        <v>0</v>
      </c>
      <c r="R299" s="61">
        <f t="shared" ref="R299:T299" si="1612">IF(BK299=0,SUM(AA299+AD299+AG299+AJ299+AM299+AP299+AS299+AV299+AY299+BB299+BE299+BH299),BK299)</f>
        <v>0</v>
      </c>
      <c r="S299" s="61">
        <f t="shared" si="1612"/>
        <v>0</v>
      </c>
      <c r="T299" s="61">
        <f t="shared" si="1612"/>
        <v>0</v>
      </c>
      <c r="U299" s="63">
        <f t="shared" si="1591"/>
        <v>0</v>
      </c>
      <c r="V299" s="63">
        <f t="shared" si="1592"/>
        <v>0</v>
      </c>
      <c r="W299" s="63">
        <f t="shared" si="1593"/>
        <v>0</v>
      </c>
      <c r="X299" s="64">
        <f t="shared" ref="X299:Y299" si="1613">IF(O299&gt;0,O299/K299,0)</f>
        <v>0</v>
      </c>
      <c r="Y299" s="64">
        <f t="shared" si="1613"/>
        <v>0</v>
      </c>
      <c r="Z299" s="64">
        <f t="shared" si="1586"/>
        <v>0</v>
      </c>
      <c r="AA299" s="65"/>
      <c r="AB299" s="65"/>
      <c r="AC299" s="65"/>
      <c r="AD299" s="65"/>
      <c r="AE299" s="66"/>
      <c r="AF299" s="66"/>
      <c r="AG299" s="66"/>
      <c r="AH299" s="66"/>
      <c r="AI299" s="65"/>
      <c r="AJ299" s="65"/>
      <c r="AK299" s="65"/>
      <c r="AL299" s="65"/>
      <c r="AM299" s="65"/>
      <c r="AN299" s="65"/>
      <c r="AO299" s="65"/>
      <c r="AP299" s="65"/>
      <c r="AQ299" s="65"/>
      <c r="AR299" s="65"/>
      <c r="AS299" s="65"/>
      <c r="AT299" s="65"/>
      <c r="AU299" s="65"/>
      <c r="AV299" s="65"/>
      <c r="AW299" s="65"/>
      <c r="AX299" s="65"/>
      <c r="AY299" s="65"/>
      <c r="AZ299" s="65"/>
      <c r="BA299" s="65"/>
      <c r="BB299" s="65"/>
      <c r="BC299" s="65"/>
      <c r="BD299" s="65"/>
      <c r="BE299" s="65"/>
      <c r="BF299" s="65"/>
      <c r="BG299" s="65"/>
      <c r="BH299" s="65"/>
      <c r="BI299" s="65"/>
      <c r="BJ299" s="65"/>
      <c r="BK299" s="65">
        <v>0</v>
      </c>
      <c r="BL299" s="65">
        <v>0</v>
      </c>
      <c r="BM299" s="65">
        <v>0</v>
      </c>
      <c r="BN299" s="65">
        <f t="shared" si="1595"/>
        <v>0</v>
      </c>
      <c r="BO299" s="67">
        <f t="shared" si="1596"/>
        <v>0</v>
      </c>
      <c r="BP299" s="65">
        <f t="shared" si="1597"/>
        <v>0</v>
      </c>
      <c r="BQ299" s="65">
        <f t="shared" si="1598"/>
        <v>0</v>
      </c>
      <c r="BR299" s="65">
        <f t="shared" si="1599"/>
        <v>0</v>
      </c>
      <c r="BS299" s="65">
        <f t="shared" si="1600"/>
        <v>0</v>
      </c>
      <c r="BT299" s="65">
        <f t="shared" si="1601"/>
        <v>0</v>
      </c>
      <c r="BU299" s="65">
        <f t="shared" si="1602"/>
        <v>0</v>
      </c>
      <c r="BV299" s="65">
        <f t="shared" si="1603"/>
        <v>0</v>
      </c>
      <c r="BW299" s="65">
        <f t="shared" si="1604"/>
        <v>0</v>
      </c>
      <c r="BX299" s="6"/>
      <c r="BY299" s="6"/>
      <c r="BZ299" s="6"/>
      <c r="CA299" s="6"/>
      <c r="CB299" s="6"/>
      <c r="CC299" s="6"/>
      <c r="CD299" s="6"/>
      <c r="CE299" s="6"/>
      <c r="CF299" s="6"/>
      <c r="CG299" s="6"/>
    </row>
    <row r="300" spans="1:85" ht="15.75" customHeight="1">
      <c r="A300" s="68"/>
      <c r="B300" s="103"/>
      <c r="C300" s="68" t="s">
        <v>454</v>
      </c>
      <c r="D300" s="70" t="s">
        <v>455</v>
      </c>
      <c r="E300" s="99">
        <v>0</v>
      </c>
      <c r="F300" s="99">
        <v>0</v>
      </c>
      <c r="G300" s="58">
        <f t="shared" si="1588"/>
        <v>0</v>
      </c>
      <c r="H300" s="99">
        <v>0</v>
      </c>
      <c r="I300" s="59">
        <f t="shared" si="1582"/>
        <v>0</v>
      </c>
      <c r="J300" s="59">
        <f t="shared" si="1583"/>
        <v>0</v>
      </c>
      <c r="K300" s="74">
        <v>0</v>
      </c>
      <c r="L300" s="74">
        <v>0</v>
      </c>
      <c r="M300" s="74">
        <v>0</v>
      </c>
      <c r="N300" s="74">
        <v>0</v>
      </c>
      <c r="O300" s="61">
        <f t="shared" ref="O300:Q300" si="1614">AA300+AD300+AG300+AJ300+AM300+AP300+AS300+AV300+AY300+BB300+BE300+BH300</f>
        <v>0</v>
      </c>
      <c r="P300" s="61">
        <f t="shared" si="1614"/>
        <v>0</v>
      </c>
      <c r="Q300" s="61">
        <f t="shared" si="1614"/>
        <v>0</v>
      </c>
      <c r="R300" s="61">
        <f t="shared" ref="R300:T300" si="1615">IF(BK300=0,SUM(AA300+AD300+AG300+AJ300+AM300+AP300+AS300+AV300+AY300+BB300+BE300+BH300),BK300)</f>
        <v>0</v>
      </c>
      <c r="S300" s="61">
        <f t="shared" si="1615"/>
        <v>0</v>
      </c>
      <c r="T300" s="61">
        <f t="shared" si="1615"/>
        <v>0</v>
      </c>
      <c r="U300" s="63">
        <f t="shared" si="1591"/>
        <v>0</v>
      </c>
      <c r="V300" s="63">
        <f t="shared" si="1592"/>
        <v>0</v>
      </c>
      <c r="W300" s="63">
        <f t="shared" si="1593"/>
        <v>0</v>
      </c>
      <c r="X300" s="64">
        <f t="shared" ref="X300:Y300" si="1616">IF(O300&gt;0,O300/K300,0)</f>
        <v>0</v>
      </c>
      <c r="Y300" s="64">
        <f t="shared" si="1616"/>
        <v>0</v>
      </c>
      <c r="Z300" s="64">
        <f t="shared" si="1586"/>
        <v>0</v>
      </c>
      <c r="AA300" s="65"/>
      <c r="AB300" s="65"/>
      <c r="AC300" s="65"/>
      <c r="AD300" s="65"/>
      <c r="AE300" s="66"/>
      <c r="AF300" s="66"/>
      <c r="AG300" s="66"/>
      <c r="AH300" s="66"/>
      <c r="AI300" s="65"/>
      <c r="AJ300" s="65"/>
      <c r="AK300" s="65"/>
      <c r="AL300" s="65"/>
      <c r="AM300" s="65"/>
      <c r="AN300" s="65"/>
      <c r="AO300" s="65"/>
      <c r="AP300" s="65"/>
      <c r="AQ300" s="65"/>
      <c r="AR300" s="65"/>
      <c r="AS300" s="65"/>
      <c r="AT300" s="65"/>
      <c r="AU300" s="65"/>
      <c r="AV300" s="65"/>
      <c r="AW300" s="65"/>
      <c r="AX300" s="65"/>
      <c r="AY300" s="65"/>
      <c r="AZ300" s="65"/>
      <c r="BA300" s="65"/>
      <c r="BB300" s="65"/>
      <c r="BC300" s="65"/>
      <c r="BD300" s="65"/>
      <c r="BE300" s="65"/>
      <c r="BF300" s="65"/>
      <c r="BG300" s="65"/>
      <c r="BH300" s="65"/>
      <c r="BI300" s="65"/>
      <c r="BJ300" s="65"/>
      <c r="BK300" s="65">
        <v>0</v>
      </c>
      <c r="BL300" s="65">
        <v>0</v>
      </c>
      <c r="BM300" s="65">
        <v>0</v>
      </c>
      <c r="BN300" s="65">
        <f t="shared" si="1595"/>
        <v>0</v>
      </c>
      <c r="BO300" s="67">
        <f t="shared" si="1596"/>
        <v>0</v>
      </c>
      <c r="BP300" s="65">
        <f t="shared" si="1597"/>
        <v>0</v>
      </c>
      <c r="BQ300" s="65">
        <f t="shared" si="1598"/>
        <v>0</v>
      </c>
      <c r="BR300" s="65">
        <f t="shared" si="1599"/>
        <v>0</v>
      </c>
      <c r="BS300" s="65">
        <f t="shared" si="1600"/>
        <v>0</v>
      </c>
      <c r="BT300" s="65">
        <f t="shared" si="1601"/>
        <v>0</v>
      </c>
      <c r="BU300" s="65">
        <f t="shared" si="1602"/>
        <v>0</v>
      </c>
      <c r="BV300" s="65">
        <f t="shared" si="1603"/>
        <v>0</v>
      </c>
      <c r="BW300" s="65">
        <f t="shared" si="1604"/>
        <v>0</v>
      </c>
      <c r="BX300" s="6"/>
      <c r="BY300" s="6"/>
      <c r="BZ300" s="6"/>
      <c r="CA300" s="6"/>
      <c r="CB300" s="6"/>
      <c r="CC300" s="6"/>
      <c r="CD300" s="6"/>
      <c r="CE300" s="6"/>
      <c r="CF300" s="6"/>
      <c r="CG300" s="6"/>
    </row>
    <row r="301" spans="1:85" ht="15.75" customHeight="1">
      <c r="A301" s="68"/>
      <c r="B301" s="103"/>
      <c r="C301" s="68" t="s">
        <v>456</v>
      </c>
      <c r="D301" s="70" t="s">
        <v>457</v>
      </c>
      <c r="E301" s="99">
        <v>0</v>
      </c>
      <c r="F301" s="99">
        <v>0</v>
      </c>
      <c r="G301" s="58">
        <f t="shared" si="1588"/>
        <v>0</v>
      </c>
      <c r="H301" s="99">
        <v>0</v>
      </c>
      <c r="I301" s="59">
        <f t="shared" si="1582"/>
        <v>0</v>
      </c>
      <c r="J301" s="59">
        <f t="shared" si="1583"/>
        <v>0</v>
      </c>
      <c r="K301" s="74">
        <v>0</v>
      </c>
      <c r="L301" s="74">
        <v>0</v>
      </c>
      <c r="M301" s="74">
        <v>0</v>
      </c>
      <c r="N301" s="74">
        <v>0</v>
      </c>
      <c r="O301" s="61">
        <f t="shared" ref="O301:Q301" si="1617">AA301+AD301+AG301+AJ301+AM301+AP301+AS301+AV301+AY301+BB301+BE301+BH301</f>
        <v>0</v>
      </c>
      <c r="P301" s="61">
        <f t="shared" si="1617"/>
        <v>0</v>
      </c>
      <c r="Q301" s="61">
        <f t="shared" si="1617"/>
        <v>0</v>
      </c>
      <c r="R301" s="61">
        <f t="shared" ref="R301:T301" si="1618">IF(BK301=0,SUM(AA301+AD301+AG301+AJ301+AM301+AP301+AS301+AV301+AY301+BB301+BE301+BH301),BK301)</f>
        <v>0</v>
      </c>
      <c r="S301" s="61">
        <f t="shared" si="1618"/>
        <v>0</v>
      </c>
      <c r="T301" s="61">
        <f t="shared" si="1618"/>
        <v>0</v>
      </c>
      <c r="U301" s="63">
        <f t="shared" si="1591"/>
        <v>0</v>
      </c>
      <c r="V301" s="63">
        <f t="shared" si="1592"/>
        <v>0</v>
      </c>
      <c r="W301" s="63">
        <f t="shared" si="1593"/>
        <v>0</v>
      </c>
      <c r="X301" s="64">
        <f t="shared" ref="X301:Y301" si="1619">IF(O301&gt;0,O301/K301,0)</f>
        <v>0</v>
      </c>
      <c r="Y301" s="64">
        <f t="shared" si="1619"/>
        <v>0</v>
      </c>
      <c r="Z301" s="64">
        <f t="shared" si="1586"/>
        <v>0</v>
      </c>
      <c r="AA301" s="65"/>
      <c r="AB301" s="65"/>
      <c r="AC301" s="65"/>
      <c r="AD301" s="65"/>
      <c r="AE301" s="66"/>
      <c r="AF301" s="66"/>
      <c r="AG301" s="66"/>
      <c r="AH301" s="66"/>
      <c r="AI301" s="65"/>
      <c r="AJ301" s="65"/>
      <c r="AK301" s="65"/>
      <c r="AL301" s="65"/>
      <c r="AM301" s="65"/>
      <c r="AN301" s="65"/>
      <c r="AO301" s="65"/>
      <c r="AP301" s="65"/>
      <c r="AQ301" s="65"/>
      <c r="AR301" s="65"/>
      <c r="AS301" s="65"/>
      <c r="AT301" s="65"/>
      <c r="AU301" s="65"/>
      <c r="AV301" s="65"/>
      <c r="AW301" s="65"/>
      <c r="AX301" s="65"/>
      <c r="AY301" s="65"/>
      <c r="AZ301" s="65"/>
      <c r="BA301" s="65"/>
      <c r="BB301" s="65"/>
      <c r="BC301" s="65"/>
      <c r="BD301" s="65"/>
      <c r="BE301" s="65"/>
      <c r="BF301" s="65"/>
      <c r="BG301" s="65"/>
      <c r="BH301" s="65"/>
      <c r="BI301" s="65"/>
      <c r="BJ301" s="65"/>
      <c r="BK301" s="65">
        <v>0</v>
      </c>
      <c r="BL301" s="65">
        <v>0</v>
      </c>
      <c r="BM301" s="65">
        <v>0</v>
      </c>
      <c r="BN301" s="65">
        <f t="shared" si="1595"/>
        <v>0</v>
      </c>
      <c r="BO301" s="67">
        <f t="shared" si="1596"/>
        <v>0</v>
      </c>
      <c r="BP301" s="65">
        <f t="shared" si="1597"/>
        <v>0</v>
      </c>
      <c r="BQ301" s="65">
        <f t="shared" si="1598"/>
        <v>0</v>
      </c>
      <c r="BR301" s="65">
        <f t="shared" si="1599"/>
        <v>0</v>
      </c>
      <c r="BS301" s="65">
        <f t="shared" si="1600"/>
        <v>0</v>
      </c>
      <c r="BT301" s="65">
        <f t="shared" si="1601"/>
        <v>0</v>
      </c>
      <c r="BU301" s="65">
        <f t="shared" si="1602"/>
        <v>0</v>
      </c>
      <c r="BV301" s="65">
        <f t="shared" si="1603"/>
        <v>0</v>
      </c>
      <c r="BW301" s="65">
        <f t="shared" si="1604"/>
        <v>0</v>
      </c>
      <c r="BX301" s="6"/>
      <c r="BY301" s="6"/>
      <c r="BZ301" s="6"/>
      <c r="CA301" s="6"/>
      <c r="CB301" s="6"/>
      <c r="CC301" s="6"/>
      <c r="CD301" s="6"/>
      <c r="CE301" s="6"/>
      <c r="CF301" s="6"/>
      <c r="CG301" s="6"/>
    </row>
    <row r="302" spans="1:85" ht="15.75" customHeight="1">
      <c r="A302" s="104" t="s">
        <v>458</v>
      </c>
      <c r="B302" s="103"/>
      <c r="C302" s="104" t="s">
        <v>215</v>
      </c>
      <c r="D302" s="105" t="s">
        <v>459</v>
      </c>
      <c r="E302" s="99">
        <v>0</v>
      </c>
      <c r="F302" s="99">
        <v>0</v>
      </c>
      <c r="G302" s="58">
        <f t="shared" si="1588"/>
        <v>0</v>
      </c>
      <c r="H302" s="99">
        <v>0</v>
      </c>
      <c r="I302" s="59">
        <f t="shared" si="1582"/>
        <v>0</v>
      </c>
      <c r="J302" s="59">
        <f t="shared" si="1583"/>
        <v>0</v>
      </c>
      <c r="K302" s="74">
        <v>5900.2</v>
      </c>
      <c r="L302" s="74">
        <v>0</v>
      </c>
      <c r="M302" s="74">
        <v>0</v>
      </c>
      <c r="N302" s="74">
        <v>0</v>
      </c>
      <c r="O302" s="61">
        <f t="shared" ref="O302:Q302" si="1620">AA302+AD302+AG302+AJ302+AM302+AP302+AS302+AV302+AY302+BB302+BE302+BH302</f>
        <v>1712.57</v>
      </c>
      <c r="P302" s="61">
        <f t="shared" si="1620"/>
        <v>0</v>
      </c>
      <c r="Q302" s="61">
        <f t="shared" si="1620"/>
        <v>0</v>
      </c>
      <c r="R302" s="61">
        <f t="shared" ref="R302:T302" si="1621">IF(BK302=0,SUM(AA302+AD302+AG302+AJ302+AM302+AP302+AS302+AV302+AY302+BB302+BE302+BH302),BK302)</f>
        <v>1712.57</v>
      </c>
      <c r="S302" s="61">
        <f t="shared" si="1621"/>
        <v>0</v>
      </c>
      <c r="T302" s="61">
        <f t="shared" si="1621"/>
        <v>0</v>
      </c>
      <c r="U302" s="62">
        <f t="shared" si="1591"/>
        <v>4187.63</v>
      </c>
      <c r="V302" s="63">
        <f t="shared" si="1592"/>
        <v>0</v>
      </c>
      <c r="W302" s="63">
        <f t="shared" si="1593"/>
        <v>0</v>
      </c>
      <c r="X302" s="64"/>
      <c r="Y302" s="64"/>
      <c r="Z302" s="64"/>
      <c r="AA302" s="65"/>
      <c r="AB302" s="65"/>
      <c r="AC302" s="65"/>
      <c r="AD302" s="65"/>
      <c r="AE302" s="66"/>
      <c r="AF302" s="66"/>
      <c r="AG302" s="66"/>
      <c r="AH302" s="66"/>
      <c r="AI302" s="65"/>
      <c r="AJ302" s="65"/>
      <c r="AK302" s="65"/>
      <c r="AL302" s="65"/>
      <c r="AM302" s="65">
        <f>1712.57</f>
        <v>1712.57</v>
      </c>
      <c r="AN302" s="65"/>
      <c r="AO302" s="65"/>
      <c r="AP302" s="65"/>
      <c r="AQ302" s="65"/>
      <c r="AR302" s="65"/>
      <c r="AS302" s="65"/>
      <c r="AT302" s="65"/>
      <c r="AU302" s="65"/>
      <c r="AV302" s="65"/>
      <c r="AW302" s="65"/>
      <c r="AX302" s="65"/>
      <c r="AY302" s="65"/>
      <c r="AZ302" s="65"/>
      <c r="BA302" s="65"/>
      <c r="BB302" s="65"/>
      <c r="BC302" s="65"/>
      <c r="BD302" s="65"/>
      <c r="BE302" s="65"/>
      <c r="BF302" s="65"/>
      <c r="BG302" s="65"/>
      <c r="BH302" s="65"/>
      <c r="BI302" s="65"/>
      <c r="BJ302" s="65"/>
      <c r="BK302" s="65">
        <v>0</v>
      </c>
      <c r="BL302" s="65">
        <v>0</v>
      </c>
      <c r="BM302" s="65">
        <v>0</v>
      </c>
      <c r="BN302" s="65">
        <f t="shared" si="1595"/>
        <v>1712.57</v>
      </c>
      <c r="BO302" s="67">
        <f t="shared" si="1596"/>
        <v>0</v>
      </c>
      <c r="BP302" s="65">
        <f t="shared" si="1597"/>
        <v>1712.57</v>
      </c>
      <c r="BQ302" s="65">
        <f t="shared" si="1598"/>
        <v>4187.63</v>
      </c>
      <c r="BR302" s="65">
        <f t="shared" si="1599"/>
        <v>0</v>
      </c>
      <c r="BS302" s="65">
        <f t="shared" si="1600"/>
        <v>4187.63</v>
      </c>
      <c r="BT302" s="65">
        <f t="shared" si="1601"/>
        <v>0</v>
      </c>
      <c r="BU302" s="65">
        <f t="shared" si="1602"/>
        <v>1712.57</v>
      </c>
      <c r="BV302" s="65">
        <f t="shared" si="1603"/>
        <v>4187.63</v>
      </c>
      <c r="BW302" s="65">
        <f t="shared" si="1604"/>
        <v>5900.2</v>
      </c>
      <c r="BX302" s="6"/>
      <c r="BY302" s="6"/>
      <c r="BZ302" s="6"/>
      <c r="CA302" s="6"/>
      <c r="CB302" s="6"/>
      <c r="CC302" s="6"/>
      <c r="CD302" s="6"/>
      <c r="CE302" s="6"/>
      <c r="CF302" s="6"/>
      <c r="CG302" s="6"/>
    </row>
    <row r="303" spans="1:85" ht="15.75" customHeight="1">
      <c r="A303" s="104" t="s">
        <v>460</v>
      </c>
      <c r="B303" s="103"/>
      <c r="C303" s="104" t="s">
        <v>215</v>
      </c>
      <c r="D303" s="105" t="s">
        <v>461</v>
      </c>
      <c r="E303" s="99">
        <v>0</v>
      </c>
      <c r="F303" s="99">
        <v>0</v>
      </c>
      <c r="G303" s="58">
        <f t="shared" si="1588"/>
        <v>0</v>
      </c>
      <c r="H303" s="99">
        <v>0</v>
      </c>
      <c r="I303" s="59">
        <f t="shared" si="1582"/>
        <v>0</v>
      </c>
      <c r="J303" s="59">
        <f t="shared" si="1583"/>
        <v>0</v>
      </c>
      <c r="K303" s="74">
        <v>4650</v>
      </c>
      <c r="L303" s="74">
        <v>0</v>
      </c>
      <c r="M303" s="74">
        <v>0</v>
      </c>
      <c r="N303" s="74">
        <v>0</v>
      </c>
      <c r="O303" s="61">
        <f t="shared" ref="O303:Q303" si="1622">AA303+AD303+AG303+AJ303+AM303+AP303+AS303+AV303+AY303+BB303+BE303+BH303</f>
        <v>0</v>
      </c>
      <c r="P303" s="61">
        <f t="shared" si="1622"/>
        <v>0</v>
      </c>
      <c r="Q303" s="61">
        <f t="shared" si="1622"/>
        <v>0</v>
      </c>
      <c r="R303" s="61">
        <f t="shared" ref="R303:T303" si="1623">IF(BK303=0,SUM(AA303+AD303+AG303+AJ303+AM303+AP303+AS303+AV303+AY303+BB303+BE303+BH303),BK303)</f>
        <v>0</v>
      </c>
      <c r="S303" s="61">
        <f t="shared" si="1623"/>
        <v>0</v>
      </c>
      <c r="T303" s="61">
        <f t="shared" si="1623"/>
        <v>0</v>
      </c>
      <c r="U303" s="62">
        <f t="shared" si="1591"/>
        <v>4650</v>
      </c>
      <c r="V303" s="63">
        <f t="shared" si="1592"/>
        <v>0</v>
      </c>
      <c r="W303" s="63">
        <f t="shared" si="1593"/>
        <v>0</v>
      </c>
      <c r="X303" s="64">
        <f t="shared" ref="X303:Y303" si="1624">IF(O303&gt;0,O303/K303,0)</f>
        <v>0</v>
      </c>
      <c r="Y303" s="64">
        <f t="shared" si="1624"/>
        <v>0</v>
      </c>
      <c r="Z303" s="64">
        <f t="shared" ref="Z303:Z308" si="1625">IF(Q303&gt;0,Q303/N303,0)</f>
        <v>0</v>
      </c>
      <c r="AA303" s="65"/>
      <c r="AB303" s="65"/>
      <c r="AC303" s="65"/>
      <c r="AD303" s="65"/>
      <c r="AE303" s="66"/>
      <c r="AF303" s="66"/>
      <c r="AG303" s="66"/>
      <c r="AH303" s="66"/>
      <c r="AI303" s="65"/>
      <c r="AJ303" s="65"/>
      <c r="AK303" s="65"/>
      <c r="AL303" s="65"/>
      <c r="AM303" s="65"/>
      <c r="AN303" s="65"/>
      <c r="AO303" s="65"/>
      <c r="AP303" s="65"/>
      <c r="AQ303" s="65"/>
      <c r="AR303" s="65"/>
      <c r="AS303" s="65"/>
      <c r="AT303" s="65"/>
      <c r="AU303" s="65"/>
      <c r="AV303" s="65"/>
      <c r="AW303" s="65"/>
      <c r="AX303" s="65"/>
      <c r="AY303" s="65"/>
      <c r="AZ303" s="65"/>
      <c r="BA303" s="65"/>
      <c r="BB303" s="65"/>
      <c r="BC303" s="65"/>
      <c r="BD303" s="65"/>
      <c r="BE303" s="65"/>
      <c r="BF303" s="65"/>
      <c r="BG303" s="65"/>
      <c r="BH303" s="65"/>
      <c r="BI303" s="65"/>
      <c r="BJ303" s="65"/>
      <c r="BK303" s="65">
        <v>0</v>
      </c>
      <c r="BL303" s="65">
        <v>0</v>
      </c>
      <c r="BM303" s="65">
        <v>0</v>
      </c>
      <c r="BN303" s="65">
        <f t="shared" si="1595"/>
        <v>0</v>
      </c>
      <c r="BO303" s="67">
        <f t="shared" si="1596"/>
        <v>0</v>
      </c>
      <c r="BP303" s="65">
        <f t="shared" si="1597"/>
        <v>0</v>
      </c>
      <c r="BQ303" s="65">
        <f t="shared" si="1598"/>
        <v>4650</v>
      </c>
      <c r="BR303" s="65">
        <f t="shared" si="1599"/>
        <v>0</v>
      </c>
      <c r="BS303" s="65">
        <f t="shared" si="1600"/>
        <v>4650</v>
      </c>
      <c r="BT303" s="65">
        <f t="shared" si="1601"/>
        <v>0</v>
      </c>
      <c r="BU303" s="65">
        <f t="shared" si="1602"/>
        <v>0</v>
      </c>
      <c r="BV303" s="65">
        <f t="shared" si="1603"/>
        <v>4650</v>
      </c>
      <c r="BW303" s="65">
        <f t="shared" si="1604"/>
        <v>4650</v>
      </c>
      <c r="BX303" s="6"/>
      <c r="BY303" s="6"/>
      <c r="BZ303" s="6"/>
      <c r="CA303" s="6"/>
      <c r="CB303" s="6"/>
      <c r="CC303" s="6"/>
      <c r="CD303" s="6"/>
      <c r="CE303" s="6"/>
      <c r="CF303" s="6"/>
      <c r="CG303" s="6"/>
    </row>
    <row r="304" spans="1:85" ht="15.75" customHeight="1">
      <c r="A304" s="260"/>
      <c r="B304" s="261"/>
      <c r="C304" s="262"/>
      <c r="D304" s="78" t="s">
        <v>234</v>
      </c>
      <c r="E304" s="45">
        <f t="shared" ref="E304:H304" si="1626">E305</f>
        <v>0</v>
      </c>
      <c r="F304" s="46">
        <f t="shared" si="1626"/>
        <v>0</v>
      </c>
      <c r="G304" s="46">
        <f t="shared" si="1626"/>
        <v>0</v>
      </c>
      <c r="H304" s="46">
        <f t="shared" si="1626"/>
        <v>0</v>
      </c>
      <c r="I304" s="47">
        <f t="shared" si="1582"/>
        <v>0</v>
      </c>
      <c r="J304" s="47">
        <f t="shared" si="1583"/>
        <v>0</v>
      </c>
      <c r="K304" s="46">
        <f t="shared" ref="K304:W304" si="1627">K305</f>
        <v>0</v>
      </c>
      <c r="L304" s="46">
        <f t="shared" si="1627"/>
        <v>0</v>
      </c>
      <c r="M304" s="46">
        <f t="shared" si="1627"/>
        <v>0</v>
      </c>
      <c r="N304" s="46">
        <f t="shared" si="1627"/>
        <v>0</v>
      </c>
      <c r="O304" s="46">
        <f t="shared" si="1627"/>
        <v>0</v>
      </c>
      <c r="P304" s="46">
        <f t="shared" si="1627"/>
        <v>0</v>
      </c>
      <c r="Q304" s="46">
        <f t="shared" si="1627"/>
        <v>0</v>
      </c>
      <c r="R304" s="46">
        <f t="shared" si="1627"/>
        <v>0</v>
      </c>
      <c r="S304" s="46">
        <f t="shared" si="1627"/>
        <v>0</v>
      </c>
      <c r="T304" s="46">
        <f t="shared" si="1627"/>
        <v>0</v>
      </c>
      <c r="U304" s="46">
        <f t="shared" si="1627"/>
        <v>0</v>
      </c>
      <c r="V304" s="46">
        <f t="shared" si="1627"/>
        <v>0</v>
      </c>
      <c r="W304" s="46">
        <f t="shared" si="1627"/>
        <v>0</v>
      </c>
      <c r="X304" s="50">
        <f t="shared" ref="X304:Y304" si="1628">IF(O304&gt;0,O304/K304,0)</f>
        <v>0</v>
      </c>
      <c r="Y304" s="50">
        <f t="shared" si="1628"/>
        <v>0</v>
      </c>
      <c r="Z304" s="50">
        <f t="shared" si="1625"/>
        <v>0</v>
      </c>
      <c r="AA304" s="46">
        <f t="shared" ref="AA304:BW304" si="1629">AA305</f>
        <v>0</v>
      </c>
      <c r="AB304" s="46">
        <f t="shared" si="1629"/>
        <v>0</v>
      </c>
      <c r="AC304" s="46">
        <f t="shared" si="1629"/>
        <v>0</v>
      </c>
      <c r="AD304" s="46">
        <f t="shared" si="1629"/>
        <v>0</v>
      </c>
      <c r="AE304" s="46">
        <f t="shared" si="1629"/>
        <v>0</v>
      </c>
      <c r="AF304" s="46">
        <f t="shared" si="1629"/>
        <v>0</v>
      </c>
      <c r="AG304" s="46">
        <f t="shared" si="1629"/>
        <v>0</v>
      </c>
      <c r="AH304" s="46">
        <f t="shared" si="1629"/>
        <v>0</v>
      </c>
      <c r="AI304" s="46">
        <f t="shared" si="1629"/>
        <v>0</v>
      </c>
      <c r="AJ304" s="46">
        <f t="shared" si="1629"/>
        <v>0</v>
      </c>
      <c r="AK304" s="46">
        <f t="shared" si="1629"/>
        <v>0</v>
      </c>
      <c r="AL304" s="46">
        <f t="shared" si="1629"/>
        <v>0</v>
      </c>
      <c r="AM304" s="46">
        <f t="shared" si="1629"/>
        <v>0</v>
      </c>
      <c r="AN304" s="46">
        <f t="shared" si="1629"/>
        <v>0</v>
      </c>
      <c r="AO304" s="46">
        <f t="shared" si="1629"/>
        <v>0</v>
      </c>
      <c r="AP304" s="46">
        <f t="shared" si="1629"/>
        <v>0</v>
      </c>
      <c r="AQ304" s="46">
        <f t="shared" si="1629"/>
        <v>0</v>
      </c>
      <c r="AR304" s="46">
        <f t="shared" si="1629"/>
        <v>0</v>
      </c>
      <c r="AS304" s="46">
        <f t="shared" si="1629"/>
        <v>0</v>
      </c>
      <c r="AT304" s="46">
        <f t="shared" si="1629"/>
        <v>0</v>
      </c>
      <c r="AU304" s="46">
        <f t="shared" si="1629"/>
        <v>0</v>
      </c>
      <c r="AV304" s="46">
        <f t="shared" si="1629"/>
        <v>0</v>
      </c>
      <c r="AW304" s="46">
        <f t="shared" si="1629"/>
        <v>0</v>
      </c>
      <c r="AX304" s="46">
        <f t="shared" si="1629"/>
        <v>0</v>
      </c>
      <c r="AY304" s="46">
        <f t="shared" si="1629"/>
        <v>0</v>
      </c>
      <c r="AZ304" s="46">
        <f t="shared" si="1629"/>
        <v>0</v>
      </c>
      <c r="BA304" s="46">
        <f t="shared" si="1629"/>
        <v>0</v>
      </c>
      <c r="BB304" s="46">
        <f t="shared" si="1629"/>
        <v>0</v>
      </c>
      <c r="BC304" s="46">
        <f t="shared" si="1629"/>
        <v>0</v>
      </c>
      <c r="BD304" s="46">
        <f t="shared" si="1629"/>
        <v>0</v>
      </c>
      <c r="BE304" s="46">
        <f t="shared" si="1629"/>
        <v>0</v>
      </c>
      <c r="BF304" s="46">
        <f t="shared" si="1629"/>
        <v>0</v>
      </c>
      <c r="BG304" s="46">
        <f t="shared" si="1629"/>
        <v>0</v>
      </c>
      <c r="BH304" s="46">
        <f t="shared" si="1629"/>
        <v>0</v>
      </c>
      <c r="BI304" s="46">
        <f t="shared" si="1629"/>
        <v>0</v>
      </c>
      <c r="BJ304" s="46">
        <f t="shared" si="1629"/>
        <v>0</v>
      </c>
      <c r="BK304" s="46">
        <f t="shared" si="1629"/>
        <v>0</v>
      </c>
      <c r="BL304" s="46">
        <f t="shared" si="1629"/>
        <v>0</v>
      </c>
      <c r="BM304" s="46">
        <f t="shared" si="1629"/>
        <v>0</v>
      </c>
      <c r="BN304" s="46">
        <f t="shared" si="1629"/>
        <v>0</v>
      </c>
      <c r="BO304" s="46">
        <f t="shared" si="1629"/>
        <v>0</v>
      </c>
      <c r="BP304" s="46">
        <f t="shared" si="1629"/>
        <v>0</v>
      </c>
      <c r="BQ304" s="46">
        <f t="shared" si="1629"/>
        <v>0</v>
      </c>
      <c r="BR304" s="46">
        <f t="shared" si="1629"/>
        <v>0</v>
      </c>
      <c r="BS304" s="46">
        <f t="shared" si="1629"/>
        <v>0</v>
      </c>
      <c r="BT304" s="46">
        <f t="shared" si="1629"/>
        <v>0</v>
      </c>
      <c r="BU304" s="46">
        <f t="shared" si="1629"/>
        <v>0</v>
      </c>
      <c r="BV304" s="46">
        <f t="shared" si="1629"/>
        <v>0</v>
      </c>
      <c r="BW304" s="46">
        <f t="shared" si="1629"/>
        <v>0</v>
      </c>
      <c r="BX304" s="6"/>
      <c r="BY304" s="6"/>
      <c r="BZ304" s="6"/>
      <c r="CA304" s="6"/>
      <c r="CB304" s="6"/>
      <c r="CC304" s="6"/>
      <c r="CD304" s="6"/>
      <c r="CE304" s="6"/>
      <c r="CF304" s="6"/>
      <c r="CG304" s="6"/>
    </row>
    <row r="305" spans="1:85" ht="15.75" customHeight="1">
      <c r="A305" s="68"/>
      <c r="B305" s="103"/>
      <c r="C305" s="68" t="s">
        <v>371</v>
      </c>
      <c r="D305" s="70" t="s">
        <v>462</v>
      </c>
      <c r="E305" s="99">
        <v>0</v>
      </c>
      <c r="F305" s="99">
        <v>0</v>
      </c>
      <c r="G305" s="58">
        <f>E305-F305</f>
        <v>0</v>
      </c>
      <c r="H305" s="99">
        <v>0</v>
      </c>
      <c r="I305" s="59">
        <f t="shared" si="1582"/>
        <v>0</v>
      </c>
      <c r="J305" s="59">
        <f t="shared" si="1583"/>
        <v>0</v>
      </c>
      <c r="K305" s="74">
        <v>0</v>
      </c>
      <c r="L305" s="74">
        <v>0</v>
      </c>
      <c r="M305" s="74">
        <v>0</v>
      </c>
      <c r="N305" s="74">
        <v>0</v>
      </c>
      <c r="O305" s="61">
        <f t="shared" ref="O305:Q305" si="1630">AA305+AD305+AG305+AJ305+AM305+AP305+AS305+AV305+AY305+BB305+BE305+BH305</f>
        <v>0</v>
      </c>
      <c r="P305" s="61">
        <f t="shared" si="1630"/>
        <v>0</v>
      </c>
      <c r="Q305" s="61">
        <f t="shared" si="1630"/>
        <v>0</v>
      </c>
      <c r="R305" s="61">
        <f t="shared" ref="R305:T305" si="1631">IF(BK305=0,SUM(AA305+AD305+AG305+AJ305+AM305+AP305+AS305+AV305+AY305+BB305+BE305+BH305),BK305)</f>
        <v>0</v>
      </c>
      <c r="S305" s="61">
        <f t="shared" si="1631"/>
        <v>0</v>
      </c>
      <c r="T305" s="61">
        <f t="shared" si="1631"/>
        <v>0</v>
      </c>
      <c r="U305" s="63">
        <f>K305-O305</f>
        <v>0</v>
      </c>
      <c r="V305" s="63">
        <f>L305-M305-S305</f>
        <v>0</v>
      </c>
      <c r="W305" s="63">
        <f>N305-Q305</f>
        <v>0</v>
      </c>
      <c r="X305" s="64">
        <f t="shared" ref="X305:Y305" si="1632">IF(O305&gt;0,O305/K305,0)</f>
        <v>0</v>
      </c>
      <c r="Y305" s="64">
        <f t="shared" si="1632"/>
        <v>0</v>
      </c>
      <c r="Z305" s="64">
        <f t="shared" si="1625"/>
        <v>0</v>
      </c>
      <c r="AA305" s="65"/>
      <c r="AB305" s="65"/>
      <c r="AC305" s="65"/>
      <c r="AD305" s="65"/>
      <c r="AE305" s="66"/>
      <c r="AF305" s="66"/>
      <c r="AG305" s="66"/>
      <c r="AH305" s="66"/>
      <c r="AI305" s="65"/>
      <c r="AJ305" s="65"/>
      <c r="AK305" s="65"/>
      <c r="AL305" s="65"/>
      <c r="AM305" s="65"/>
      <c r="AN305" s="65"/>
      <c r="AO305" s="65"/>
      <c r="AP305" s="65"/>
      <c r="AQ305" s="65"/>
      <c r="AR305" s="65"/>
      <c r="AS305" s="65"/>
      <c r="AT305" s="65"/>
      <c r="AU305" s="65"/>
      <c r="AV305" s="65"/>
      <c r="AW305" s="65"/>
      <c r="AX305" s="65"/>
      <c r="AY305" s="65"/>
      <c r="AZ305" s="65"/>
      <c r="BA305" s="65"/>
      <c r="BB305" s="65"/>
      <c r="BC305" s="65"/>
      <c r="BD305" s="65"/>
      <c r="BE305" s="65"/>
      <c r="BF305" s="65"/>
      <c r="BG305" s="65"/>
      <c r="BH305" s="65"/>
      <c r="BI305" s="65"/>
      <c r="BJ305" s="65"/>
      <c r="BK305" s="65">
        <v>0</v>
      </c>
      <c r="BL305" s="65">
        <v>0</v>
      </c>
      <c r="BM305" s="65">
        <v>0</v>
      </c>
      <c r="BN305" s="65">
        <f>IF(O305-BK305&gt;0,O305-BK305,0)</f>
        <v>0</v>
      </c>
      <c r="BO305" s="67">
        <f>IF(Q305-BM305&gt;0,Q305-BM305,0)</f>
        <v>0</v>
      </c>
      <c r="BP305" s="65">
        <f>IF(BN305+BO305&gt;0,BN305+BO305,0)</f>
        <v>0</v>
      </c>
      <c r="BQ305" s="65">
        <f>IF(U305=0,0,U305)</f>
        <v>0</v>
      </c>
      <c r="BR305" s="65">
        <f>IF(W305=0,0,W305)</f>
        <v>0</v>
      </c>
      <c r="BS305" s="65">
        <f>IF(BQ305+BR305&gt;0,BQ305+BR305,0)</f>
        <v>0</v>
      </c>
      <c r="BT305" s="65">
        <f>IF(V305&gt;0,V305,0)</f>
        <v>0</v>
      </c>
      <c r="BU305" s="65">
        <f>IF(BP305=0,0,BP305)</f>
        <v>0</v>
      </c>
      <c r="BV305" s="65">
        <f>IF(BS305=0,0,BS305)</f>
        <v>0</v>
      </c>
      <c r="BW305" s="65">
        <f>IF(BP305+BT305+BV305&gt;0,BP305+BT305+BV305,0)</f>
        <v>0</v>
      </c>
      <c r="BX305" s="6"/>
      <c r="BY305" s="6"/>
      <c r="BZ305" s="6"/>
      <c r="CA305" s="6"/>
      <c r="CB305" s="6"/>
      <c r="CC305" s="6"/>
      <c r="CD305" s="6"/>
      <c r="CE305" s="6"/>
      <c r="CF305" s="6"/>
      <c r="CG305" s="6"/>
    </row>
    <row r="306" spans="1:85" ht="15.75" customHeight="1">
      <c r="A306" s="260"/>
      <c r="B306" s="261"/>
      <c r="C306" s="262"/>
      <c r="D306" s="78" t="s">
        <v>247</v>
      </c>
      <c r="E306" s="45">
        <f t="shared" ref="E306:H306" si="1633">E307</f>
        <v>0</v>
      </c>
      <c r="F306" s="46">
        <f t="shared" si="1633"/>
        <v>0</v>
      </c>
      <c r="G306" s="46">
        <f t="shared" si="1633"/>
        <v>0</v>
      </c>
      <c r="H306" s="46">
        <f t="shared" si="1633"/>
        <v>0</v>
      </c>
      <c r="I306" s="47">
        <f t="shared" si="1582"/>
        <v>0</v>
      </c>
      <c r="J306" s="47">
        <f t="shared" si="1583"/>
        <v>0</v>
      </c>
      <c r="K306" s="46">
        <f t="shared" ref="K306:W306" si="1634">K307</f>
        <v>0</v>
      </c>
      <c r="L306" s="46">
        <f t="shared" si="1634"/>
        <v>0</v>
      </c>
      <c r="M306" s="46">
        <f t="shared" si="1634"/>
        <v>0</v>
      </c>
      <c r="N306" s="46">
        <f t="shared" si="1634"/>
        <v>0</v>
      </c>
      <c r="O306" s="46">
        <f t="shared" si="1634"/>
        <v>0</v>
      </c>
      <c r="P306" s="46">
        <f t="shared" si="1634"/>
        <v>0</v>
      </c>
      <c r="Q306" s="46">
        <f t="shared" si="1634"/>
        <v>0</v>
      </c>
      <c r="R306" s="46">
        <f t="shared" si="1634"/>
        <v>0</v>
      </c>
      <c r="S306" s="46">
        <f t="shared" si="1634"/>
        <v>0</v>
      </c>
      <c r="T306" s="46">
        <f t="shared" si="1634"/>
        <v>0</v>
      </c>
      <c r="U306" s="46">
        <f t="shared" si="1634"/>
        <v>0</v>
      </c>
      <c r="V306" s="46">
        <f t="shared" si="1634"/>
        <v>0</v>
      </c>
      <c r="W306" s="46">
        <f t="shared" si="1634"/>
        <v>0</v>
      </c>
      <c r="X306" s="50">
        <f t="shared" ref="X306:Y306" si="1635">IF(O306&gt;0,O306/K306,0)</f>
        <v>0</v>
      </c>
      <c r="Y306" s="50">
        <f t="shared" si="1635"/>
        <v>0</v>
      </c>
      <c r="Z306" s="50">
        <f t="shared" si="1625"/>
        <v>0</v>
      </c>
      <c r="AA306" s="46">
        <f t="shared" ref="AA306:BW306" si="1636">AA307</f>
        <v>0</v>
      </c>
      <c r="AB306" s="46">
        <f t="shared" si="1636"/>
        <v>0</v>
      </c>
      <c r="AC306" s="46">
        <f t="shared" si="1636"/>
        <v>0</v>
      </c>
      <c r="AD306" s="46">
        <f t="shared" si="1636"/>
        <v>0</v>
      </c>
      <c r="AE306" s="46">
        <f t="shared" si="1636"/>
        <v>0</v>
      </c>
      <c r="AF306" s="46">
        <f t="shared" si="1636"/>
        <v>0</v>
      </c>
      <c r="AG306" s="46">
        <f t="shared" si="1636"/>
        <v>0</v>
      </c>
      <c r="AH306" s="46">
        <f t="shared" si="1636"/>
        <v>0</v>
      </c>
      <c r="AI306" s="46">
        <f t="shared" si="1636"/>
        <v>0</v>
      </c>
      <c r="AJ306" s="46">
        <f t="shared" si="1636"/>
        <v>0</v>
      </c>
      <c r="AK306" s="46">
        <f t="shared" si="1636"/>
        <v>0</v>
      </c>
      <c r="AL306" s="46">
        <f t="shared" si="1636"/>
        <v>0</v>
      </c>
      <c r="AM306" s="46">
        <f t="shared" si="1636"/>
        <v>0</v>
      </c>
      <c r="AN306" s="46">
        <f t="shared" si="1636"/>
        <v>0</v>
      </c>
      <c r="AO306" s="46">
        <f t="shared" si="1636"/>
        <v>0</v>
      </c>
      <c r="AP306" s="46">
        <f t="shared" si="1636"/>
        <v>0</v>
      </c>
      <c r="AQ306" s="46">
        <f t="shared" si="1636"/>
        <v>0</v>
      </c>
      <c r="AR306" s="46">
        <f t="shared" si="1636"/>
        <v>0</v>
      </c>
      <c r="AS306" s="46">
        <f t="shared" si="1636"/>
        <v>0</v>
      </c>
      <c r="AT306" s="46">
        <f t="shared" si="1636"/>
        <v>0</v>
      </c>
      <c r="AU306" s="46">
        <f t="shared" si="1636"/>
        <v>0</v>
      </c>
      <c r="AV306" s="46">
        <f t="shared" si="1636"/>
        <v>0</v>
      </c>
      <c r="AW306" s="46">
        <f t="shared" si="1636"/>
        <v>0</v>
      </c>
      <c r="AX306" s="46">
        <f t="shared" si="1636"/>
        <v>0</v>
      </c>
      <c r="AY306" s="46">
        <f t="shared" si="1636"/>
        <v>0</v>
      </c>
      <c r="AZ306" s="46">
        <f t="shared" si="1636"/>
        <v>0</v>
      </c>
      <c r="BA306" s="46">
        <f t="shared" si="1636"/>
        <v>0</v>
      </c>
      <c r="BB306" s="46">
        <f t="shared" si="1636"/>
        <v>0</v>
      </c>
      <c r="BC306" s="46">
        <f t="shared" si="1636"/>
        <v>0</v>
      </c>
      <c r="BD306" s="46">
        <f t="shared" si="1636"/>
        <v>0</v>
      </c>
      <c r="BE306" s="46">
        <f t="shared" si="1636"/>
        <v>0</v>
      </c>
      <c r="BF306" s="46">
        <f t="shared" si="1636"/>
        <v>0</v>
      </c>
      <c r="BG306" s="46">
        <f t="shared" si="1636"/>
        <v>0</v>
      </c>
      <c r="BH306" s="46">
        <f t="shared" si="1636"/>
        <v>0</v>
      </c>
      <c r="BI306" s="46">
        <f t="shared" si="1636"/>
        <v>0</v>
      </c>
      <c r="BJ306" s="46">
        <f t="shared" si="1636"/>
        <v>0</v>
      </c>
      <c r="BK306" s="46">
        <f t="shared" si="1636"/>
        <v>0</v>
      </c>
      <c r="BL306" s="46">
        <f t="shared" si="1636"/>
        <v>0</v>
      </c>
      <c r="BM306" s="46">
        <f t="shared" si="1636"/>
        <v>0</v>
      </c>
      <c r="BN306" s="46">
        <f t="shared" si="1636"/>
        <v>0</v>
      </c>
      <c r="BO306" s="46">
        <f t="shared" si="1636"/>
        <v>0</v>
      </c>
      <c r="BP306" s="46">
        <f t="shared" si="1636"/>
        <v>0</v>
      </c>
      <c r="BQ306" s="46">
        <f t="shared" si="1636"/>
        <v>0</v>
      </c>
      <c r="BR306" s="46">
        <f t="shared" si="1636"/>
        <v>0</v>
      </c>
      <c r="BS306" s="46">
        <f t="shared" si="1636"/>
        <v>0</v>
      </c>
      <c r="BT306" s="46">
        <f t="shared" si="1636"/>
        <v>0</v>
      </c>
      <c r="BU306" s="46">
        <f t="shared" si="1636"/>
        <v>0</v>
      </c>
      <c r="BV306" s="46">
        <f t="shared" si="1636"/>
        <v>0</v>
      </c>
      <c r="BW306" s="46">
        <f t="shared" si="1636"/>
        <v>0</v>
      </c>
      <c r="BX306" s="6"/>
      <c r="BY306" s="6"/>
      <c r="BZ306" s="6"/>
      <c r="CA306" s="6"/>
      <c r="CB306" s="6"/>
      <c r="CC306" s="6"/>
      <c r="CD306" s="6"/>
      <c r="CE306" s="6"/>
      <c r="CF306" s="6"/>
      <c r="CG306" s="6"/>
    </row>
    <row r="307" spans="1:85" ht="15.75" customHeight="1">
      <c r="A307" s="68"/>
      <c r="B307" s="103"/>
      <c r="C307" s="68" t="s">
        <v>342</v>
      </c>
      <c r="D307" s="70" t="s">
        <v>463</v>
      </c>
      <c r="E307" s="99">
        <v>0</v>
      </c>
      <c r="F307" s="99">
        <v>0</v>
      </c>
      <c r="G307" s="58">
        <f>E307-F307</f>
        <v>0</v>
      </c>
      <c r="H307" s="99">
        <v>0</v>
      </c>
      <c r="I307" s="59">
        <f t="shared" si="1582"/>
        <v>0</v>
      </c>
      <c r="J307" s="59">
        <f t="shared" si="1583"/>
        <v>0</v>
      </c>
      <c r="K307" s="74">
        <v>0</v>
      </c>
      <c r="L307" s="74">
        <v>0</v>
      </c>
      <c r="M307" s="74">
        <v>0</v>
      </c>
      <c r="N307" s="74">
        <v>0</v>
      </c>
      <c r="O307" s="61">
        <f t="shared" ref="O307:Q307" si="1637">AA307+AD307+AG307+AJ307+AM307+AP307+AS307+AV307+AY307+BB307+BE307+BH307</f>
        <v>0</v>
      </c>
      <c r="P307" s="61">
        <f t="shared" si="1637"/>
        <v>0</v>
      </c>
      <c r="Q307" s="61">
        <f t="shared" si="1637"/>
        <v>0</v>
      </c>
      <c r="R307" s="61">
        <f t="shared" ref="R307:T307" si="1638">IF(BK307=0,SUM(AA307+AD307+AG307+AJ307+AM307+AP307+AS307+AV307+AY307+BB307+BE307+BH307),BK307)</f>
        <v>0</v>
      </c>
      <c r="S307" s="61">
        <f t="shared" si="1638"/>
        <v>0</v>
      </c>
      <c r="T307" s="61">
        <f t="shared" si="1638"/>
        <v>0</v>
      </c>
      <c r="U307" s="63">
        <f>K307-O307</f>
        <v>0</v>
      </c>
      <c r="V307" s="63">
        <f>L307-M307-S307</f>
        <v>0</v>
      </c>
      <c r="W307" s="63">
        <f>N307-Q307</f>
        <v>0</v>
      </c>
      <c r="X307" s="64">
        <f t="shared" ref="X307:Y307" si="1639">IF(O307&gt;0,O307/K307,0)</f>
        <v>0</v>
      </c>
      <c r="Y307" s="64">
        <f t="shared" si="1639"/>
        <v>0</v>
      </c>
      <c r="Z307" s="64">
        <f t="shared" si="1625"/>
        <v>0</v>
      </c>
      <c r="AA307" s="65"/>
      <c r="AB307" s="65"/>
      <c r="AC307" s="65"/>
      <c r="AD307" s="65"/>
      <c r="AE307" s="66"/>
      <c r="AF307" s="66"/>
      <c r="AG307" s="66"/>
      <c r="AH307" s="66"/>
      <c r="AI307" s="65"/>
      <c r="AJ307" s="65"/>
      <c r="AK307" s="65"/>
      <c r="AL307" s="65"/>
      <c r="AM307" s="65"/>
      <c r="AN307" s="65"/>
      <c r="AO307" s="65"/>
      <c r="AP307" s="65"/>
      <c r="AQ307" s="65"/>
      <c r="AR307" s="65"/>
      <c r="AS307" s="65"/>
      <c r="AT307" s="65"/>
      <c r="AU307" s="65"/>
      <c r="AV307" s="65"/>
      <c r="AW307" s="65"/>
      <c r="AX307" s="65"/>
      <c r="AY307" s="65"/>
      <c r="AZ307" s="65"/>
      <c r="BA307" s="65"/>
      <c r="BB307" s="65"/>
      <c r="BC307" s="65"/>
      <c r="BD307" s="65"/>
      <c r="BE307" s="65"/>
      <c r="BF307" s="65"/>
      <c r="BG307" s="65"/>
      <c r="BH307" s="65"/>
      <c r="BI307" s="65"/>
      <c r="BJ307" s="65"/>
      <c r="BK307" s="65">
        <v>0</v>
      </c>
      <c r="BL307" s="65">
        <v>0</v>
      </c>
      <c r="BM307" s="65">
        <v>0</v>
      </c>
      <c r="BN307" s="65">
        <f>IF(O307-BK307&gt;0,O307-BK307,0)</f>
        <v>0</v>
      </c>
      <c r="BO307" s="67">
        <f>IF(Q307-BM307&gt;0,Q307-BM307,0)</f>
        <v>0</v>
      </c>
      <c r="BP307" s="65">
        <f>IF(BN307+BO307&gt;0,BN307+BO307,0)</f>
        <v>0</v>
      </c>
      <c r="BQ307" s="65">
        <f>IF(U307=0,0,U307)</f>
        <v>0</v>
      </c>
      <c r="BR307" s="65">
        <f>IF(W307=0,0,W307)</f>
        <v>0</v>
      </c>
      <c r="BS307" s="65">
        <f>IF(BQ307+BR307&gt;0,BQ307+BR307,0)</f>
        <v>0</v>
      </c>
      <c r="BT307" s="65">
        <f>IF(V307&gt;0,V307,0)</f>
        <v>0</v>
      </c>
      <c r="BU307" s="65">
        <f>IF(BP307=0,0,BP307)</f>
        <v>0</v>
      </c>
      <c r="BV307" s="65">
        <f>IF(BS307=0,0,BS307)</f>
        <v>0</v>
      </c>
      <c r="BW307" s="65">
        <f>IF(BP307+BT307+BV307&gt;0,BP307+BT307+BV307,0)</f>
        <v>0</v>
      </c>
      <c r="BX307" s="6"/>
      <c r="BY307" s="6"/>
      <c r="BZ307" s="6"/>
      <c r="CA307" s="6"/>
      <c r="CB307" s="6"/>
      <c r="CC307" s="6"/>
      <c r="CD307" s="6"/>
      <c r="CE307" s="6"/>
      <c r="CF307" s="6"/>
      <c r="CG307" s="6"/>
    </row>
    <row r="308" spans="1:85" ht="15.75">
      <c r="A308" s="75"/>
      <c r="B308" s="76"/>
      <c r="C308" s="77"/>
      <c r="D308" s="78" t="s">
        <v>264</v>
      </c>
      <c r="E308" s="45">
        <f t="shared" ref="E308:H308" si="1640">SUM(E309:E310)</f>
        <v>0</v>
      </c>
      <c r="F308" s="45">
        <f t="shared" si="1640"/>
        <v>0</v>
      </c>
      <c r="G308" s="45">
        <f t="shared" si="1640"/>
        <v>0</v>
      </c>
      <c r="H308" s="45">
        <f t="shared" si="1640"/>
        <v>0</v>
      </c>
      <c r="I308" s="47">
        <f t="shared" si="1582"/>
        <v>0</v>
      </c>
      <c r="J308" s="47">
        <f t="shared" si="1583"/>
        <v>0</v>
      </c>
      <c r="K308" s="45">
        <f t="shared" ref="K308:W308" si="1641">SUM(K309:K310)</f>
        <v>0</v>
      </c>
      <c r="L308" s="45">
        <f t="shared" si="1641"/>
        <v>0</v>
      </c>
      <c r="M308" s="45">
        <f t="shared" si="1641"/>
        <v>0</v>
      </c>
      <c r="N308" s="45">
        <f t="shared" si="1641"/>
        <v>0</v>
      </c>
      <c r="O308" s="45">
        <f t="shared" si="1641"/>
        <v>0</v>
      </c>
      <c r="P308" s="45">
        <f t="shared" si="1641"/>
        <v>0</v>
      </c>
      <c r="Q308" s="45">
        <f t="shared" si="1641"/>
        <v>0</v>
      </c>
      <c r="R308" s="45">
        <f t="shared" si="1641"/>
        <v>0</v>
      </c>
      <c r="S308" s="45">
        <f t="shared" si="1641"/>
        <v>0</v>
      </c>
      <c r="T308" s="45">
        <f t="shared" si="1641"/>
        <v>0</v>
      </c>
      <c r="U308" s="45">
        <f t="shared" si="1641"/>
        <v>0</v>
      </c>
      <c r="V308" s="45">
        <f t="shared" si="1641"/>
        <v>0</v>
      </c>
      <c r="W308" s="45">
        <f t="shared" si="1641"/>
        <v>0</v>
      </c>
      <c r="X308" s="50">
        <f t="shared" ref="X308:Y308" si="1642">IF(O308&gt;0,O308/K308,0)</f>
        <v>0</v>
      </c>
      <c r="Y308" s="50">
        <f t="shared" si="1642"/>
        <v>0</v>
      </c>
      <c r="Z308" s="50">
        <f t="shared" si="1625"/>
        <v>0</v>
      </c>
      <c r="AA308" s="45">
        <f t="shared" ref="AA308:BW308" si="1643">SUM(AA309:AA310)</f>
        <v>0</v>
      </c>
      <c r="AB308" s="45">
        <f t="shared" si="1643"/>
        <v>0</v>
      </c>
      <c r="AC308" s="45">
        <f t="shared" si="1643"/>
        <v>0</v>
      </c>
      <c r="AD308" s="45">
        <f t="shared" si="1643"/>
        <v>0</v>
      </c>
      <c r="AE308" s="45">
        <f t="shared" si="1643"/>
        <v>0</v>
      </c>
      <c r="AF308" s="45">
        <f t="shared" si="1643"/>
        <v>0</v>
      </c>
      <c r="AG308" s="45">
        <f t="shared" si="1643"/>
        <v>0</v>
      </c>
      <c r="AH308" s="45">
        <f t="shared" si="1643"/>
        <v>0</v>
      </c>
      <c r="AI308" s="45">
        <f t="shared" si="1643"/>
        <v>0</v>
      </c>
      <c r="AJ308" s="45">
        <f t="shared" si="1643"/>
        <v>0</v>
      </c>
      <c r="AK308" s="45">
        <f t="shared" si="1643"/>
        <v>0</v>
      </c>
      <c r="AL308" s="45">
        <f t="shared" si="1643"/>
        <v>0</v>
      </c>
      <c r="AM308" s="45">
        <f t="shared" si="1643"/>
        <v>0</v>
      </c>
      <c r="AN308" s="45">
        <f t="shared" si="1643"/>
        <v>0</v>
      </c>
      <c r="AO308" s="45">
        <f t="shared" si="1643"/>
        <v>0</v>
      </c>
      <c r="AP308" s="45">
        <f t="shared" si="1643"/>
        <v>0</v>
      </c>
      <c r="AQ308" s="45">
        <f t="shared" si="1643"/>
        <v>0</v>
      </c>
      <c r="AR308" s="45">
        <f t="shared" si="1643"/>
        <v>0</v>
      </c>
      <c r="AS308" s="45">
        <f t="shared" si="1643"/>
        <v>0</v>
      </c>
      <c r="AT308" s="45">
        <f t="shared" si="1643"/>
        <v>0</v>
      </c>
      <c r="AU308" s="45">
        <f t="shared" si="1643"/>
        <v>0</v>
      </c>
      <c r="AV308" s="45">
        <f t="shared" si="1643"/>
        <v>0</v>
      </c>
      <c r="AW308" s="45">
        <f t="shared" si="1643"/>
        <v>0</v>
      </c>
      <c r="AX308" s="45">
        <f t="shared" si="1643"/>
        <v>0</v>
      </c>
      <c r="AY308" s="45">
        <f t="shared" si="1643"/>
        <v>0</v>
      </c>
      <c r="AZ308" s="45">
        <f t="shared" si="1643"/>
        <v>0</v>
      </c>
      <c r="BA308" s="45">
        <f t="shared" si="1643"/>
        <v>0</v>
      </c>
      <c r="BB308" s="45">
        <f t="shared" si="1643"/>
        <v>0</v>
      </c>
      <c r="BC308" s="45">
        <f t="shared" si="1643"/>
        <v>0</v>
      </c>
      <c r="BD308" s="45">
        <f t="shared" si="1643"/>
        <v>0</v>
      </c>
      <c r="BE308" s="45">
        <f t="shared" si="1643"/>
        <v>0</v>
      </c>
      <c r="BF308" s="45">
        <f t="shared" si="1643"/>
        <v>0</v>
      </c>
      <c r="BG308" s="45">
        <f t="shared" si="1643"/>
        <v>0</v>
      </c>
      <c r="BH308" s="45">
        <f t="shared" si="1643"/>
        <v>0</v>
      </c>
      <c r="BI308" s="45">
        <f t="shared" si="1643"/>
        <v>0</v>
      </c>
      <c r="BJ308" s="45">
        <f t="shared" si="1643"/>
        <v>0</v>
      </c>
      <c r="BK308" s="45">
        <f t="shared" si="1643"/>
        <v>0</v>
      </c>
      <c r="BL308" s="45">
        <f t="shared" si="1643"/>
        <v>0</v>
      </c>
      <c r="BM308" s="45">
        <f t="shared" si="1643"/>
        <v>0</v>
      </c>
      <c r="BN308" s="45">
        <f t="shared" si="1643"/>
        <v>0</v>
      </c>
      <c r="BO308" s="45">
        <f t="shared" si="1643"/>
        <v>0</v>
      </c>
      <c r="BP308" s="45">
        <f t="shared" si="1643"/>
        <v>0</v>
      </c>
      <c r="BQ308" s="45">
        <f t="shared" si="1643"/>
        <v>0</v>
      </c>
      <c r="BR308" s="45">
        <f t="shared" si="1643"/>
        <v>0</v>
      </c>
      <c r="BS308" s="45">
        <f t="shared" si="1643"/>
        <v>0</v>
      </c>
      <c r="BT308" s="45">
        <f t="shared" si="1643"/>
        <v>0</v>
      </c>
      <c r="BU308" s="45">
        <f t="shared" si="1643"/>
        <v>0</v>
      </c>
      <c r="BV308" s="45">
        <f t="shared" si="1643"/>
        <v>0</v>
      </c>
      <c r="BW308" s="45">
        <f t="shared" si="1643"/>
        <v>0</v>
      </c>
      <c r="BX308" s="51"/>
      <c r="BY308" s="51"/>
      <c r="BZ308" s="51"/>
      <c r="CA308" s="51"/>
      <c r="CB308" s="51"/>
      <c r="CC308" s="51"/>
      <c r="CD308" s="51"/>
      <c r="CE308" s="51"/>
      <c r="CF308" s="51"/>
      <c r="CG308" s="51"/>
    </row>
    <row r="309" spans="1:85" ht="15.75" customHeight="1">
      <c r="A309" s="275"/>
      <c r="B309" s="314"/>
      <c r="C309" s="68"/>
      <c r="D309" s="70"/>
      <c r="E309" s="99">
        <v>0</v>
      </c>
      <c r="F309" s="99">
        <v>0</v>
      </c>
      <c r="G309" s="58">
        <f t="shared" ref="G309:G310" si="1644">E309-F309</f>
        <v>0</v>
      </c>
      <c r="H309" s="99">
        <v>0</v>
      </c>
      <c r="I309" s="59">
        <f t="shared" si="1582"/>
        <v>0</v>
      </c>
      <c r="J309" s="59">
        <f t="shared" si="1583"/>
        <v>0</v>
      </c>
      <c r="K309" s="74">
        <v>0</v>
      </c>
      <c r="L309" s="74">
        <v>0</v>
      </c>
      <c r="M309" s="74">
        <v>0</v>
      </c>
      <c r="N309" s="74">
        <v>0</v>
      </c>
      <c r="O309" s="61"/>
      <c r="P309" s="61"/>
      <c r="Q309" s="61"/>
      <c r="R309" s="61"/>
      <c r="S309" s="61"/>
      <c r="T309" s="61"/>
      <c r="U309" s="63"/>
      <c r="V309" s="63"/>
      <c r="W309" s="208"/>
      <c r="X309" s="64"/>
      <c r="Y309" s="64"/>
      <c r="Z309" s="64"/>
      <c r="AA309" s="65"/>
      <c r="AB309" s="65"/>
      <c r="AC309" s="65"/>
      <c r="AD309" s="65"/>
      <c r="AE309" s="66"/>
      <c r="AF309" s="66"/>
      <c r="AG309" s="66"/>
      <c r="AH309" s="66"/>
      <c r="AI309" s="65"/>
      <c r="AJ309" s="65"/>
      <c r="AK309" s="65"/>
      <c r="AL309" s="65"/>
      <c r="AM309" s="65"/>
      <c r="AN309" s="65"/>
      <c r="AO309" s="65"/>
      <c r="AP309" s="65"/>
      <c r="AQ309" s="65"/>
      <c r="AR309" s="65"/>
      <c r="AS309" s="65"/>
      <c r="AT309" s="65"/>
      <c r="AU309" s="65"/>
      <c r="AV309" s="65"/>
      <c r="AW309" s="65"/>
      <c r="AX309" s="65"/>
      <c r="AY309" s="65"/>
      <c r="AZ309" s="65"/>
      <c r="BA309" s="65"/>
      <c r="BB309" s="65"/>
      <c r="BC309" s="65"/>
      <c r="BD309" s="65"/>
      <c r="BE309" s="65"/>
      <c r="BF309" s="65"/>
      <c r="BG309" s="65"/>
      <c r="BH309" s="65"/>
      <c r="BI309" s="65"/>
      <c r="BJ309" s="65"/>
      <c r="BK309" s="65">
        <v>0</v>
      </c>
      <c r="BL309" s="65">
        <v>0</v>
      </c>
      <c r="BM309" s="65">
        <v>0</v>
      </c>
      <c r="BN309" s="65">
        <f t="shared" ref="BN309:BN310" si="1645">IF(O309-BK309&gt;0,O309-BK309,0)</f>
        <v>0</v>
      </c>
      <c r="BO309" s="67">
        <f t="shared" ref="BO309:BO310" si="1646">IF(Q309-BM309&gt;0,Q309-BM309,0)</f>
        <v>0</v>
      </c>
      <c r="BP309" s="65">
        <f t="shared" ref="BP309:BP310" si="1647">IF(BN309+BO309&gt;0,BN309+BO309,0)</f>
        <v>0</v>
      </c>
      <c r="BQ309" s="65">
        <f t="shared" ref="BQ309:BQ310" si="1648">IF(U309=0,0,U309)</f>
        <v>0</v>
      </c>
      <c r="BR309" s="65">
        <f t="shared" ref="BR309:BR310" si="1649">IF(W309=0,0,W309)</f>
        <v>0</v>
      </c>
      <c r="BS309" s="65">
        <f t="shared" ref="BS309:BS310" si="1650">IF(BQ309+BR309&gt;0,BQ309+BR309,0)</f>
        <v>0</v>
      </c>
      <c r="BT309" s="65">
        <f t="shared" ref="BT309:BT310" si="1651">IF(V309&gt;0,V309,0)</f>
        <v>0</v>
      </c>
      <c r="BU309" s="65">
        <f t="shared" ref="BU309:BU310" si="1652">IF(BP309=0,0,BP309)</f>
        <v>0</v>
      </c>
      <c r="BV309" s="65">
        <f t="shared" ref="BV309:BV310" si="1653">IF(BS309=0,0,BS309)</f>
        <v>0</v>
      </c>
      <c r="BW309" s="65">
        <f t="shared" ref="BW309:BW310" si="1654">IF(BP309+BT309+BV309&gt;0,BP309+BT309+BV309,0)</f>
        <v>0</v>
      </c>
      <c r="BX309" s="6"/>
      <c r="BY309" s="6"/>
      <c r="BZ309" s="6"/>
      <c r="CA309" s="6"/>
      <c r="CB309" s="6"/>
      <c r="CC309" s="6"/>
      <c r="CD309" s="6"/>
      <c r="CE309" s="6"/>
      <c r="CF309" s="6"/>
      <c r="CG309" s="6"/>
    </row>
    <row r="310" spans="1:85" ht="15.75" customHeight="1">
      <c r="A310" s="275"/>
      <c r="B310" s="314"/>
      <c r="C310" s="68"/>
      <c r="D310" s="70"/>
      <c r="E310" s="99">
        <v>0</v>
      </c>
      <c r="F310" s="99">
        <v>0</v>
      </c>
      <c r="G310" s="58">
        <f t="shared" si="1644"/>
        <v>0</v>
      </c>
      <c r="H310" s="99">
        <v>0</v>
      </c>
      <c r="I310" s="59">
        <f t="shared" si="1582"/>
        <v>0</v>
      </c>
      <c r="J310" s="59">
        <f t="shared" si="1583"/>
        <v>0</v>
      </c>
      <c r="K310" s="74">
        <v>0</v>
      </c>
      <c r="L310" s="74">
        <v>0</v>
      </c>
      <c r="M310" s="74">
        <v>0</v>
      </c>
      <c r="N310" s="74">
        <v>0</v>
      </c>
      <c r="O310" s="61"/>
      <c r="P310" s="61"/>
      <c r="Q310" s="61"/>
      <c r="R310" s="61"/>
      <c r="S310" s="61"/>
      <c r="T310" s="61"/>
      <c r="U310" s="208"/>
      <c r="V310" s="63"/>
      <c r="W310" s="63"/>
      <c r="X310" s="64"/>
      <c r="Y310" s="64"/>
      <c r="Z310" s="64"/>
      <c r="AA310" s="65"/>
      <c r="AB310" s="65"/>
      <c r="AC310" s="65"/>
      <c r="AD310" s="65"/>
      <c r="AE310" s="66"/>
      <c r="AF310" s="66"/>
      <c r="AG310" s="66"/>
      <c r="AH310" s="66"/>
      <c r="AI310" s="65"/>
      <c r="AJ310" s="65"/>
      <c r="AK310" s="65"/>
      <c r="AL310" s="65"/>
      <c r="AM310" s="65"/>
      <c r="AN310" s="65"/>
      <c r="AO310" s="65"/>
      <c r="AP310" s="65"/>
      <c r="AQ310" s="65"/>
      <c r="AR310" s="65"/>
      <c r="AS310" s="65"/>
      <c r="AT310" s="65"/>
      <c r="AU310" s="65"/>
      <c r="AV310" s="65"/>
      <c r="AW310" s="65"/>
      <c r="AX310" s="65"/>
      <c r="AY310" s="65"/>
      <c r="AZ310" s="65"/>
      <c r="BA310" s="65"/>
      <c r="BB310" s="65"/>
      <c r="BC310" s="65"/>
      <c r="BD310" s="65"/>
      <c r="BE310" s="65"/>
      <c r="BF310" s="65"/>
      <c r="BG310" s="65"/>
      <c r="BH310" s="65"/>
      <c r="BI310" s="65"/>
      <c r="BJ310" s="65"/>
      <c r="BK310" s="65">
        <v>0</v>
      </c>
      <c r="BL310" s="65">
        <v>0</v>
      </c>
      <c r="BM310" s="65">
        <v>0</v>
      </c>
      <c r="BN310" s="65">
        <f t="shared" si="1645"/>
        <v>0</v>
      </c>
      <c r="BO310" s="67">
        <f t="shared" si="1646"/>
        <v>0</v>
      </c>
      <c r="BP310" s="65">
        <f t="shared" si="1647"/>
        <v>0</v>
      </c>
      <c r="BQ310" s="65">
        <f t="shared" si="1648"/>
        <v>0</v>
      </c>
      <c r="BR310" s="65">
        <f t="shared" si="1649"/>
        <v>0</v>
      </c>
      <c r="BS310" s="65">
        <f t="shared" si="1650"/>
        <v>0</v>
      </c>
      <c r="BT310" s="65">
        <f t="shared" si="1651"/>
        <v>0</v>
      </c>
      <c r="BU310" s="65">
        <f t="shared" si="1652"/>
        <v>0</v>
      </c>
      <c r="BV310" s="65">
        <f t="shared" si="1653"/>
        <v>0</v>
      </c>
      <c r="BW310" s="65">
        <f t="shared" si="1654"/>
        <v>0</v>
      </c>
      <c r="BX310" s="6"/>
      <c r="BY310" s="6"/>
      <c r="BZ310" s="6"/>
      <c r="CA310" s="6"/>
      <c r="CB310" s="6"/>
      <c r="CC310" s="6"/>
      <c r="CD310" s="6"/>
      <c r="CE310" s="6"/>
      <c r="CF310" s="6"/>
      <c r="CG310" s="6"/>
    </row>
    <row r="311" spans="1:85" ht="15.75" customHeight="1">
      <c r="A311" s="315"/>
      <c r="B311" s="35"/>
      <c r="C311" s="36"/>
      <c r="D311" s="37" t="s">
        <v>464</v>
      </c>
      <c r="E311" s="38">
        <f t="shared" ref="E311:H311" si="1655">E312+E315+E317</f>
        <v>38807.9</v>
      </c>
      <c r="F311" s="38">
        <f t="shared" si="1655"/>
        <v>0</v>
      </c>
      <c r="G311" s="38">
        <f t="shared" si="1655"/>
        <v>38807.9</v>
      </c>
      <c r="H311" s="38">
        <f t="shared" si="1655"/>
        <v>0</v>
      </c>
      <c r="I311" s="39">
        <f t="shared" si="1582"/>
        <v>0.94826053458187631</v>
      </c>
      <c r="J311" s="39">
        <f t="shared" si="1583"/>
        <v>0.28860103226404932</v>
      </c>
      <c r="K311" s="38">
        <f t="shared" ref="K311:W311" si="1656">K312+K315+K317</f>
        <v>36800</v>
      </c>
      <c r="L311" s="38">
        <f t="shared" si="1656"/>
        <v>0</v>
      </c>
      <c r="M311" s="38">
        <f t="shared" si="1656"/>
        <v>0</v>
      </c>
      <c r="N311" s="38">
        <f t="shared" si="1656"/>
        <v>0</v>
      </c>
      <c r="O311" s="38">
        <f t="shared" si="1656"/>
        <v>11200</v>
      </c>
      <c r="P311" s="38">
        <f t="shared" si="1656"/>
        <v>0</v>
      </c>
      <c r="Q311" s="38">
        <f t="shared" si="1656"/>
        <v>0</v>
      </c>
      <c r="R311" s="38">
        <f t="shared" si="1656"/>
        <v>11200</v>
      </c>
      <c r="S311" s="38">
        <f t="shared" si="1656"/>
        <v>0</v>
      </c>
      <c r="T311" s="38">
        <f t="shared" si="1656"/>
        <v>0</v>
      </c>
      <c r="U311" s="38">
        <f t="shared" si="1656"/>
        <v>25600</v>
      </c>
      <c r="V311" s="38">
        <f t="shared" si="1656"/>
        <v>0</v>
      </c>
      <c r="W311" s="38">
        <f t="shared" si="1656"/>
        <v>0</v>
      </c>
      <c r="X311" s="40">
        <f t="shared" ref="X311:Y311" si="1657">IF(O311&gt;0,O311/K311,0)</f>
        <v>0.30434782608695654</v>
      </c>
      <c r="Y311" s="40">
        <f t="shared" si="1657"/>
        <v>0</v>
      </c>
      <c r="Z311" s="40">
        <f t="shared" ref="Z311:Z462" si="1658">IF(Q311&gt;0,Q311/N311,0)</f>
        <v>0</v>
      </c>
      <c r="AA311" s="38">
        <f t="shared" ref="AA311:BW311" si="1659">AA312+AA315+AA317</f>
        <v>0</v>
      </c>
      <c r="AB311" s="38">
        <f t="shared" si="1659"/>
        <v>0</v>
      </c>
      <c r="AC311" s="38">
        <f t="shared" si="1659"/>
        <v>0</v>
      </c>
      <c r="AD311" s="38">
        <f t="shared" si="1659"/>
        <v>0</v>
      </c>
      <c r="AE311" s="38">
        <f t="shared" si="1659"/>
        <v>0</v>
      </c>
      <c r="AF311" s="38">
        <f t="shared" si="1659"/>
        <v>0</v>
      </c>
      <c r="AG311" s="38">
        <f t="shared" si="1659"/>
        <v>0</v>
      </c>
      <c r="AH311" s="38">
        <f t="shared" si="1659"/>
        <v>0</v>
      </c>
      <c r="AI311" s="38">
        <f t="shared" si="1659"/>
        <v>0</v>
      </c>
      <c r="AJ311" s="38">
        <f t="shared" si="1659"/>
        <v>0</v>
      </c>
      <c r="AK311" s="38">
        <f t="shared" si="1659"/>
        <v>0</v>
      </c>
      <c r="AL311" s="38">
        <f t="shared" si="1659"/>
        <v>0</v>
      </c>
      <c r="AM311" s="38">
        <f t="shared" si="1659"/>
        <v>0</v>
      </c>
      <c r="AN311" s="38">
        <f t="shared" si="1659"/>
        <v>0</v>
      </c>
      <c r="AO311" s="38">
        <f t="shared" si="1659"/>
        <v>0</v>
      </c>
      <c r="AP311" s="38">
        <f t="shared" si="1659"/>
        <v>11200</v>
      </c>
      <c r="AQ311" s="38">
        <f t="shared" si="1659"/>
        <v>0</v>
      </c>
      <c r="AR311" s="38">
        <f t="shared" si="1659"/>
        <v>0</v>
      </c>
      <c r="AS311" s="38">
        <f t="shared" si="1659"/>
        <v>0</v>
      </c>
      <c r="AT311" s="38">
        <f t="shared" si="1659"/>
        <v>0</v>
      </c>
      <c r="AU311" s="38">
        <f t="shared" si="1659"/>
        <v>0</v>
      </c>
      <c r="AV311" s="38">
        <f t="shared" si="1659"/>
        <v>0</v>
      </c>
      <c r="AW311" s="38">
        <f t="shared" si="1659"/>
        <v>0</v>
      </c>
      <c r="AX311" s="38">
        <f t="shared" si="1659"/>
        <v>0</v>
      </c>
      <c r="AY311" s="38">
        <f t="shared" si="1659"/>
        <v>0</v>
      </c>
      <c r="AZ311" s="38">
        <f t="shared" si="1659"/>
        <v>0</v>
      </c>
      <c r="BA311" s="38">
        <f t="shared" si="1659"/>
        <v>0</v>
      </c>
      <c r="BB311" s="38">
        <f t="shared" si="1659"/>
        <v>0</v>
      </c>
      <c r="BC311" s="38">
        <f t="shared" si="1659"/>
        <v>0</v>
      </c>
      <c r="BD311" s="38">
        <f t="shared" si="1659"/>
        <v>0</v>
      </c>
      <c r="BE311" s="38">
        <f t="shared" si="1659"/>
        <v>0</v>
      </c>
      <c r="BF311" s="38">
        <f t="shared" si="1659"/>
        <v>0</v>
      </c>
      <c r="BG311" s="38">
        <f t="shared" si="1659"/>
        <v>0</v>
      </c>
      <c r="BH311" s="38">
        <f t="shared" si="1659"/>
        <v>0</v>
      </c>
      <c r="BI311" s="38">
        <f t="shared" si="1659"/>
        <v>0</v>
      </c>
      <c r="BJ311" s="38">
        <f t="shared" si="1659"/>
        <v>0</v>
      </c>
      <c r="BK311" s="38">
        <f t="shared" si="1659"/>
        <v>0</v>
      </c>
      <c r="BL311" s="38">
        <f t="shared" si="1659"/>
        <v>0</v>
      </c>
      <c r="BM311" s="38">
        <f t="shared" si="1659"/>
        <v>0</v>
      </c>
      <c r="BN311" s="38">
        <f t="shared" si="1659"/>
        <v>11200</v>
      </c>
      <c r="BO311" s="38">
        <f t="shared" si="1659"/>
        <v>0</v>
      </c>
      <c r="BP311" s="38">
        <f t="shared" si="1659"/>
        <v>11200</v>
      </c>
      <c r="BQ311" s="38">
        <f t="shared" si="1659"/>
        <v>25600</v>
      </c>
      <c r="BR311" s="38">
        <f t="shared" si="1659"/>
        <v>0</v>
      </c>
      <c r="BS311" s="38">
        <f t="shared" si="1659"/>
        <v>25600</v>
      </c>
      <c r="BT311" s="38">
        <f t="shared" si="1659"/>
        <v>0</v>
      </c>
      <c r="BU311" s="38">
        <f t="shared" si="1659"/>
        <v>11200</v>
      </c>
      <c r="BV311" s="38">
        <f t="shared" si="1659"/>
        <v>25600</v>
      </c>
      <c r="BW311" s="38">
        <f t="shared" si="1659"/>
        <v>36800</v>
      </c>
      <c r="BX311" s="6"/>
      <c r="BY311" s="6"/>
      <c r="BZ311" s="6"/>
      <c r="CA311" s="6"/>
      <c r="CB311" s="6"/>
      <c r="CC311" s="6"/>
      <c r="CD311" s="6"/>
      <c r="CE311" s="6"/>
      <c r="CF311" s="6"/>
      <c r="CG311" s="6"/>
    </row>
    <row r="312" spans="1:85" ht="15.75">
      <c r="A312" s="75"/>
      <c r="B312" s="76"/>
      <c r="C312" s="77"/>
      <c r="D312" s="78" t="s">
        <v>67</v>
      </c>
      <c r="E312" s="45">
        <f t="shared" ref="E312:H312" si="1660">SUM(E313:E314)</f>
        <v>2000</v>
      </c>
      <c r="F312" s="46">
        <f t="shared" si="1660"/>
        <v>0</v>
      </c>
      <c r="G312" s="46">
        <f t="shared" si="1660"/>
        <v>2000</v>
      </c>
      <c r="H312" s="46">
        <f t="shared" si="1660"/>
        <v>0</v>
      </c>
      <c r="I312" s="47">
        <f t="shared" si="1582"/>
        <v>0</v>
      </c>
      <c r="J312" s="47">
        <f t="shared" si="1583"/>
        <v>0</v>
      </c>
      <c r="K312" s="46">
        <f t="shared" ref="K312:W312" si="1661">SUM(K313:K314)</f>
        <v>0</v>
      </c>
      <c r="L312" s="46">
        <f t="shared" si="1661"/>
        <v>0</v>
      </c>
      <c r="M312" s="46">
        <f t="shared" si="1661"/>
        <v>0</v>
      </c>
      <c r="N312" s="46">
        <f t="shared" si="1661"/>
        <v>0</v>
      </c>
      <c r="O312" s="46">
        <f t="shared" si="1661"/>
        <v>0</v>
      </c>
      <c r="P312" s="46">
        <f t="shared" si="1661"/>
        <v>0</v>
      </c>
      <c r="Q312" s="46">
        <f t="shared" si="1661"/>
        <v>0</v>
      </c>
      <c r="R312" s="46">
        <f t="shared" si="1661"/>
        <v>0</v>
      </c>
      <c r="S312" s="46">
        <f t="shared" si="1661"/>
        <v>0</v>
      </c>
      <c r="T312" s="46">
        <f t="shared" si="1661"/>
        <v>0</v>
      </c>
      <c r="U312" s="46">
        <f t="shared" si="1661"/>
        <v>0</v>
      </c>
      <c r="V312" s="46">
        <f t="shared" si="1661"/>
        <v>0</v>
      </c>
      <c r="W312" s="46">
        <f t="shared" si="1661"/>
        <v>0</v>
      </c>
      <c r="X312" s="50">
        <f t="shared" ref="X312:Y312" si="1662">IF(O312&gt;0,O312/K312,0)</f>
        <v>0</v>
      </c>
      <c r="Y312" s="50">
        <f t="shared" si="1662"/>
        <v>0</v>
      </c>
      <c r="Z312" s="50">
        <f t="shared" si="1658"/>
        <v>0</v>
      </c>
      <c r="AA312" s="46">
        <f t="shared" ref="AA312:BW312" si="1663">SUM(AA313:AA314)</f>
        <v>0</v>
      </c>
      <c r="AB312" s="46">
        <f t="shared" si="1663"/>
        <v>0</v>
      </c>
      <c r="AC312" s="46">
        <f t="shared" si="1663"/>
        <v>0</v>
      </c>
      <c r="AD312" s="46">
        <f t="shared" si="1663"/>
        <v>0</v>
      </c>
      <c r="AE312" s="46">
        <f t="shared" si="1663"/>
        <v>0</v>
      </c>
      <c r="AF312" s="46">
        <f t="shared" si="1663"/>
        <v>0</v>
      </c>
      <c r="AG312" s="46">
        <f t="shared" si="1663"/>
        <v>0</v>
      </c>
      <c r="AH312" s="46">
        <f t="shared" si="1663"/>
        <v>0</v>
      </c>
      <c r="AI312" s="46">
        <f t="shared" si="1663"/>
        <v>0</v>
      </c>
      <c r="AJ312" s="46">
        <f t="shared" si="1663"/>
        <v>0</v>
      </c>
      <c r="AK312" s="46">
        <f t="shared" si="1663"/>
        <v>0</v>
      </c>
      <c r="AL312" s="46">
        <f t="shared" si="1663"/>
        <v>0</v>
      </c>
      <c r="AM312" s="46">
        <f t="shared" si="1663"/>
        <v>0</v>
      </c>
      <c r="AN312" s="46">
        <f t="shared" si="1663"/>
        <v>0</v>
      </c>
      <c r="AO312" s="46">
        <f t="shared" si="1663"/>
        <v>0</v>
      </c>
      <c r="AP312" s="46">
        <f t="shared" si="1663"/>
        <v>0</v>
      </c>
      <c r="AQ312" s="46">
        <f t="shared" si="1663"/>
        <v>0</v>
      </c>
      <c r="AR312" s="46">
        <f t="shared" si="1663"/>
        <v>0</v>
      </c>
      <c r="AS312" s="46">
        <f t="shared" si="1663"/>
        <v>0</v>
      </c>
      <c r="AT312" s="46">
        <f t="shared" si="1663"/>
        <v>0</v>
      </c>
      <c r="AU312" s="46">
        <f t="shared" si="1663"/>
        <v>0</v>
      </c>
      <c r="AV312" s="46">
        <f t="shared" si="1663"/>
        <v>0</v>
      </c>
      <c r="AW312" s="46">
        <f t="shared" si="1663"/>
        <v>0</v>
      </c>
      <c r="AX312" s="46">
        <f t="shared" si="1663"/>
        <v>0</v>
      </c>
      <c r="AY312" s="46">
        <f t="shared" si="1663"/>
        <v>0</v>
      </c>
      <c r="AZ312" s="46">
        <f t="shared" si="1663"/>
        <v>0</v>
      </c>
      <c r="BA312" s="46">
        <f t="shared" si="1663"/>
        <v>0</v>
      </c>
      <c r="BB312" s="46">
        <f t="shared" si="1663"/>
        <v>0</v>
      </c>
      <c r="BC312" s="46">
        <f t="shared" si="1663"/>
        <v>0</v>
      </c>
      <c r="BD312" s="46">
        <f t="shared" si="1663"/>
        <v>0</v>
      </c>
      <c r="BE312" s="46">
        <f t="shared" si="1663"/>
        <v>0</v>
      </c>
      <c r="BF312" s="46">
        <f t="shared" si="1663"/>
        <v>0</v>
      </c>
      <c r="BG312" s="46">
        <f t="shared" si="1663"/>
        <v>0</v>
      </c>
      <c r="BH312" s="46">
        <f t="shared" si="1663"/>
        <v>0</v>
      </c>
      <c r="BI312" s="46">
        <f t="shared" si="1663"/>
        <v>0</v>
      </c>
      <c r="BJ312" s="46">
        <f t="shared" si="1663"/>
        <v>0</v>
      </c>
      <c r="BK312" s="46">
        <f t="shared" si="1663"/>
        <v>0</v>
      </c>
      <c r="BL312" s="46">
        <f t="shared" si="1663"/>
        <v>0</v>
      </c>
      <c r="BM312" s="46">
        <f t="shared" si="1663"/>
        <v>0</v>
      </c>
      <c r="BN312" s="46">
        <f t="shared" si="1663"/>
        <v>0</v>
      </c>
      <c r="BO312" s="46">
        <f t="shared" si="1663"/>
        <v>0</v>
      </c>
      <c r="BP312" s="46">
        <f t="shared" si="1663"/>
        <v>0</v>
      </c>
      <c r="BQ312" s="46">
        <f t="shared" si="1663"/>
        <v>0</v>
      </c>
      <c r="BR312" s="46">
        <f t="shared" si="1663"/>
        <v>0</v>
      </c>
      <c r="BS312" s="46">
        <f t="shared" si="1663"/>
        <v>0</v>
      </c>
      <c r="BT312" s="46">
        <f t="shared" si="1663"/>
        <v>0</v>
      </c>
      <c r="BU312" s="46">
        <f t="shared" si="1663"/>
        <v>0</v>
      </c>
      <c r="BV312" s="46">
        <f t="shared" si="1663"/>
        <v>0</v>
      </c>
      <c r="BW312" s="46">
        <f t="shared" si="1663"/>
        <v>0</v>
      </c>
      <c r="BX312" s="51"/>
      <c r="BY312" s="51"/>
      <c r="BZ312" s="51"/>
      <c r="CA312" s="51"/>
      <c r="CB312" s="51"/>
      <c r="CC312" s="51"/>
      <c r="CD312" s="51"/>
      <c r="CE312" s="51"/>
      <c r="CF312" s="51"/>
      <c r="CG312" s="51"/>
    </row>
    <row r="313" spans="1:85" ht="15.75" customHeight="1">
      <c r="A313" s="68"/>
      <c r="B313" s="103"/>
      <c r="C313" s="68" t="s">
        <v>69</v>
      </c>
      <c r="D313" s="70" t="s">
        <v>465</v>
      </c>
      <c r="E313" s="56">
        <v>2000</v>
      </c>
      <c r="F313" s="99">
        <v>0</v>
      </c>
      <c r="G313" s="58">
        <f t="shared" ref="G313:G314" si="1664">E313-F313</f>
        <v>2000</v>
      </c>
      <c r="H313" s="99">
        <v>0</v>
      </c>
      <c r="I313" s="59">
        <f t="shared" si="1582"/>
        <v>0</v>
      </c>
      <c r="J313" s="59">
        <f t="shared" si="1583"/>
        <v>0</v>
      </c>
      <c r="K313" s="74">
        <v>0</v>
      </c>
      <c r="L313" s="74">
        <v>0</v>
      </c>
      <c r="M313" s="74">
        <v>0</v>
      </c>
      <c r="N313" s="74">
        <v>0</v>
      </c>
      <c r="O313" s="61">
        <f t="shared" ref="O313:Q313" si="1665">AA313+AD313+AG313+AJ313+AM313+AP313+AS313+AV313+AY313+BB313+BE313+BH313</f>
        <v>0</v>
      </c>
      <c r="P313" s="61">
        <f t="shared" si="1665"/>
        <v>0</v>
      </c>
      <c r="Q313" s="61">
        <f t="shared" si="1665"/>
        <v>0</v>
      </c>
      <c r="R313" s="61">
        <f t="shared" ref="R313:T313" si="1666">IF(BK313=0,SUM(AA313+AD313+AG313+AJ313+AM313+AP313+AS313+AV313+AY313+BB313+BE313+BH313),BK313)</f>
        <v>0</v>
      </c>
      <c r="S313" s="61">
        <f t="shared" si="1666"/>
        <v>0</v>
      </c>
      <c r="T313" s="61">
        <f t="shared" si="1666"/>
        <v>0</v>
      </c>
      <c r="U313" s="63">
        <f t="shared" ref="U313:U314" si="1667">K313-O313</f>
        <v>0</v>
      </c>
      <c r="V313" s="63">
        <f t="shared" ref="V313:V314" si="1668">L313-M313-S313</f>
        <v>0</v>
      </c>
      <c r="W313" s="63">
        <f t="shared" ref="W313:W314" si="1669">N313-Q313</f>
        <v>0</v>
      </c>
      <c r="X313" s="64">
        <f t="shared" ref="X313:Y313" si="1670">IF(O313&gt;0,O313/K313,0)</f>
        <v>0</v>
      </c>
      <c r="Y313" s="64">
        <f t="shared" si="1670"/>
        <v>0</v>
      </c>
      <c r="Z313" s="64">
        <f t="shared" si="1658"/>
        <v>0</v>
      </c>
      <c r="AA313" s="65"/>
      <c r="AB313" s="65"/>
      <c r="AC313" s="65"/>
      <c r="AD313" s="65"/>
      <c r="AE313" s="66"/>
      <c r="AF313" s="66"/>
      <c r="AG313" s="66"/>
      <c r="AH313" s="66"/>
      <c r="AI313" s="65"/>
      <c r="AJ313" s="65"/>
      <c r="AK313" s="65"/>
      <c r="AL313" s="65"/>
      <c r="AM313" s="65"/>
      <c r="AN313" s="65"/>
      <c r="AO313" s="65"/>
      <c r="AP313" s="65"/>
      <c r="AQ313" s="65"/>
      <c r="AR313" s="65"/>
      <c r="AS313" s="65"/>
      <c r="AT313" s="65"/>
      <c r="AU313" s="65"/>
      <c r="AV313" s="65"/>
      <c r="AW313" s="65"/>
      <c r="AX313" s="65"/>
      <c r="AY313" s="65"/>
      <c r="AZ313" s="65"/>
      <c r="BA313" s="65"/>
      <c r="BB313" s="65"/>
      <c r="BC313" s="65"/>
      <c r="BD313" s="65"/>
      <c r="BE313" s="65"/>
      <c r="BF313" s="65"/>
      <c r="BG313" s="65"/>
      <c r="BH313" s="65"/>
      <c r="BI313" s="65"/>
      <c r="BJ313" s="65"/>
      <c r="BK313" s="65">
        <v>0</v>
      </c>
      <c r="BL313" s="65">
        <v>0</v>
      </c>
      <c r="BM313" s="65">
        <v>0</v>
      </c>
      <c r="BN313" s="65">
        <f t="shared" ref="BN313:BN314" si="1671">IF(O313-BK313&gt;0,O313-BK313,0)</f>
        <v>0</v>
      </c>
      <c r="BO313" s="67">
        <f t="shared" ref="BO313:BO314" si="1672">IF(Q313-BM313&gt;0,Q313-BM313,0)</f>
        <v>0</v>
      </c>
      <c r="BP313" s="65">
        <f t="shared" ref="BP313:BP314" si="1673">IF(BN313+BO313&gt;0,BN313+BO313,0)</f>
        <v>0</v>
      </c>
      <c r="BQ313" s="65">
        <f t="shared" ref="BQ313:BQ314" si="1674">IF(U313=0,0,U313)</f>
        <v>0</v>
      </c>
      <c r="BR313" s="65">
        <f t="shared" ref="BR313:BR314" si="1675">IF(W313=0,0,W313)</f>
        <v>0</v>
      </c>
      <c r="BS313" s="65">
        <f t="shared" ref="BS313:BS314" si="1676">IF(BQ313+BR313&gt;0,BQ313+BR313,0)</f>
        <v>0</v>
      </c>
      <c r="BT313" s="65">
        <f t="shared" ref="BT313:BT314" si="1677">IF(V313&gt;0,V313,0)</f>
        <v>0</v>
      </c>
      <c r="BU313" s="65">
        <f t="shared" ref="BU313:BU314" si="1678">IF(BP313=0,0,BP313)</f>
        <v>0</v>
      </c>
      <c r="BV313" s="65">
        <f t="shared" ref="BV313:BV314" si="1679">IF(BS313=0,0,BS313)</f>
        <v>0</v>
      </c>
      <c r="BW313" s="65">
        <f t="shared" ref="BW313:BW314" si="1680">IF(BP313+BT313+BV313&gt;0,BP313+BT313+BV313,0)</f>
        <v>0</v>
      </c>
      <c r="BX313" s="6"/>
      <c r="BY313" s="6"/>
      <c r="BZ313" s="6"/>
      <c r="CA313" s="6"/>
      <c r="CB313" s="6"/>
      <c r="CC313" s="6"/>
      <c r="CD313" s="6"/>
      <c r="CE313" s="6"/>
      <c r="CF313" s="6"/>
      <c r="CG313" s="6"/>
    </row>
    <row r="314" spans="1:85" ht="15.75" customHeight="1">
      <c r="A314" s="68"/>
      <c r="B314" s="103"/>
      <c r="C314" s="68" t="s">
        <v>69</v>
      </c>
      <c r="D314" s="70" t="s">
        <v>466</v>
      </c>
      <c r="E314" s="99">
        <v>0</v>
      </c>
      <c r="F314" s="99">
        <v>0</v>
      </c>
      <c r="G314" s="58">
        <f t="shared" si="1664"/>
        <v>0</v>
      </c>
      <c r="H314" s="99">
        <v>0</v>
      </c>
      <c r="I314" s="59">
        <f t="shared" si="1582"/>
        <v>0</v>
      </c>
      <c r="J314" s="59">
        <f t="shared" si="1583"/>
        <v>0</v>
      </c>
      <c r="K314" s="74">
        <v>0</v>
      </c>
      <c r="L314" s="74">
        <v>0</v>
      </c>
      <c r="M314" s="74">
        <v>0</v>
      </c>
      <c r="N314" s="74">
        <v>0</v>
      </c>
      <c r="O314" s="61">
        <f t="shared" ref="O314:Q314" si="1681">AA314+AD314+AG314+AJ314+AM314+AP314+AS314+AV314+AY314+BB314+BE314+BH314</f>
        <v>0</v>
      </c>
      <c r="P314" s="61">
        <f t="shared" si="1681"/>
        <v>0</v>
      </c>
      <c r="Q314" s="61">
        <f t="shared" si="1681"/>
        <v>0</v>
      </c>
      <c r="R314" s="61">
        <f t="shared" ref="R314:T314" si="1682">IF(BK314=0,SUM(AA314+AD314+AG314+AJ314+AM314+AP314+AS314+AV314+AY314+BB314+BE314+BH314),BK314)</f>
        <v>0</v>
      </c>
      <c r="S314" s="61">
        <f t="shared" si="1682"/>
        <v>0</v>
      </c>
      <c r="T314" s="61">
        <f t="shared" si="1682"/>
        <v>0</v>
      </c>
      <c r="U314" s="63">
        <f t="shared" si="1667"/>
        <v>0</v>
      </c>
      <c r="V314" s="63">
        <f t="shared" si="1668"/>
        <v>0</v>
      </c>
      <c r="W314" s="63">
        <f t="shared" si="1669"/>
        <v>0</v>
      </c>
      <c r="X314" s="64">
        <f t="shared" ref="X314:Y314" si="1683">IF(O314&gt;0,O314/K314,0)</f>
        <v>0</v>
      </c>
      <c r="Y314" s="64">
        <f t="shared" si="1683"/>
        <v>0</v>
      </c>
      <c r="Z314" s="64">
        <f t="shared" si="1658"/>
        <v>0</v>
      </c>
      <c r="AA314" s="65"/>
      <c r="AB314" s="65"/>
      <c r="AC314" s="65"/>
      <c r="AD314" s="65"/>
      <c r="AE314" s="66"/>
      <c r="AF314" s="66"/>
      <c r="AG314" s="66"/>
      <c r="AH314" s="66"/>
      <c r="AI314" s="65"/>
      <c r="AJ314" s="65"/>
      <c r="AK314" s="65"/>
      <c r="AL314" s="65"/>
      <c r="AM314" s="65"/>
      <c r="AN314" s="65"/>
      <c r="AO314" s="65"/>
      <c r="AP314" s="65"/>
      <c r="AQ314" s="65"/>
      <c r="AR314" s="65"/>
      <c r="AS314" s="65"/>
      <c r="AT314" s="65"/>
      <c r="AU314" s="65"/>
      <c r="AV314" s="65"/>
      <c r="AW314" s="65"/>
      <c r="AX314" s="65"/>
      <c r="AY314" s="65"/>
      <c r="AZ314" s="65"/>
      <c r="BA314" s="65"/>
      <c r="BB314" s="65"/>
      <c r="BC314" s="65"/>
      <c r="BD314" s="65"/>
      <c r="BE314" s="65"/>
      <c r="BF314" s="65"/>
      <c r="BG314" s="65"/>
      <c r="BH314" s="65"/>
      <c r="BI314" s="65"/>
      <c r="BJ314" s="65"/>
      <c r="BK314" s="65">
        <v>0</v>
      </c>
      <c r="BL314" s="65">
        <v>0</v>
      </c>
      <c r="BM314" s="65">
        <v>0</v>
      </c>
      <c r="BN314" s="65">
        <f t="shared" si="1671"/>
        <v>0</v>
      </c>
      <c r="BO314" s="67">
        <f t="shared" si="1672"/>
        <v>0</v>
      </c>
      <c r="BP314" s="65">
        <f t="shared" si="1673"/>
        <v>0</v>
      </c>
      <c r="BQ314" s="65">
        <f t="shared" si="1674"/>
        <v>0</v>
      </c>
      <c r="BR314" s="65">
        <f t="shared" si="1675"/>
        <v>0</v>
      </c>
      <c r="BS314" s="65">
        <f t="shared" si="1676"/>
        <v>0</v>
      </c>
      <c r="BT314" s="65">
        <f t="shared" si="1677"/>
        <v>0</v>
      </c>
      <c r="BU314" s="65">
        <f t="shared" si="1678"/>
        <v>0</v>
      </c>
      <c r="BV314" s="65">
        <f t="shared" si="1679"/>
        <v>0</v>
      </c>
      <c r="BW314" s="65">
        <f t="shared" si="1680"/>
        <v>0</v>
      </c>
      <c r="BX314" s="6"/>
      <c r="BY314" s="6"/>
      <c r="BZ314" s="6"/>
      <c r="CA314" s="6"/>
      <c r="CB314" s="6"/>
      <c r="CC314" s="6"/>
      <c r="CD314" s="6"/>
      <c r="CE314" s="6"/>
      <c r="CF314" s="6"/>
      <c r="CG314" s="6"/>
    </row>
    <row r="315" spans="1:85" ht="15.75" customHeight="1">
      <c r="A315" s="75"/>
      <c r="B315" s="76"/>
      <c r="C315" s="77"/>
      <c r="D315" s="78" t="s">
        <v>467</v>
      </c>
      <c r="E315" s="45">
        <f t="shared" ref="E315:H315" si="1684">E316</f>
        <v>36807.9</v>
      </c>
      <c r="F315" s="46">
        <f t="shared" si="1684"/>
        <v>0</v>
      </c>
      <c r="G315" s="46">
        <f t="shared" si="1684"/>
        <v>36807.9</v>
      </c>
      <c r="H315" s="46">
        <f t="shared" si="1684"/>
        <v>0</v>
      </c>
      <c r="I315" s="47">
        <f t="shared" si="1582"/>
        <v>0.99978537216195429</v>
      </c>
      <c r="J315" s="47">
        <f t="shared" si="1583"/>
        <v>0.30428250457102957</v>
      </c>
      <c r="K315" s="46">
        <f t="shared" ref="K315:W315" si="1685">K316</f>
        <v>36800</v>
      </c>
      <c r="L315" s="46">
        <f t="shared" si="1685"/>
        <v>0</v>
      </c>
      <c r="M315" s="46">
        <f t="shared" si="1685"/>
        <v>0</v>
      </c>
      <c r="N315" s="46">
        <f t="shared" si="1685"/>
        <v>0</v>
      </c>
      <c r="O315" s="46">
        <f t="shared" si="1685"/>
        <v>11200</v>
      </c>
      <c r="P315" s="46">
        <f t="shared" si="1685"/>
        <v>0</v>
      </c>
      <c r="Q315" s="46">
        <f t="shared" si="1685"/>
        <v>0</v>
      </c>
      <c r="R315" s="46">
        <f t="shared" si="1685"/>
        <v>11200</v>
      </c>
      <c r="S315" s="46">
        <f t="shared" si="1685"/>
        <v>0</v>
      </c>
      <c r="T315" s="46">
        <f t="shared" si="1685"/>
        <v>0</v>
      </c>
      <c r="U315" s="46">
        <f t="shared" si="1685"/>
        <v>25600</v>
      </c>
      <c r="V315" s="46">
        <f t="shared" si="1685"/>
        <v>0</v>
      </c>
      <c r="W315" s="46">
        <f t="shared" si="1685"/>
        <v>0</v>
      </c>
      <c r="X315" s="50">
        <f t="shared" ref="X315:Y315" si="1686">IF(O315&gt;0,O315/K315,0)</f>
        <v>0.30434782608695654</v>
      </c>
      <c r="Y315" s="50">
        <f t="shared" si="1686"/>
        <v>0</v>
      </c>
      <c r="Z315" s="50">
        <f t="shared" si="1658"/>
        <v>0</v>
      </c>
      <c r="AA315" s="46">
        <f t="shared" ref="AA315:BW315" si="1687">AA316</f>
        <v>0</v>
      </c>
      <c r="AB315" s="46">
        <f t="shared" si="1687"/>
        <v>0</v>
      </c>
      <c r="AC315" s="46">
        <f t="shared" si="1687"/>
        <v>0</v>
      </c>
      <c r="AD315" s="46">
        <f t="shared" si="1687"/>
        <v>0</v>
      </c>
      <c r="AE315" s="46">
        <f t="shared" si="1687"/>
        <v>0</v>
      </c>
      <c r="AF315" s="46">
        <f t="shared" si="1687"/>
        <v>0</v>
      </c>
      <c r="AG315" s="46">
        <f t="shared" si="1687"/>
        <v>0</v>
      </c>
      <c r="AH315" s="46">
        <f t="shared" si="1687"/>
        <v>0</v>
      </c>
      <c r="AI315" s="46">
        <f t="shared" si="1687"/>
        <v>0</v>
      </c>
      <c r="AJ315" s="46">
        <f t="shared" si="1687"/>
        <v>0</v>
      </c>
      <c r="AK315" s="46">
        <f t="shared" si="1687"/>
        <v>0</v>
      </c>
      <c r="AL315" s="46">
        <f t="shared" si="1687"/>
        <v>0</v>
      </c>
      <c r="AM315" s="46">
        <f t="shared" si="1687"/>
        <v>0</v>
      </c>
      <c r="AN315" s="46">
        <f t="shared" si="1687"/>
        <v>0</v>
      </c>
      <c r="AO315" s="46">
        <f t="shared" si="1687"/>
        <v>0</v>
      </c>
      <c r="AP315" s="46">
        <f t="shared" si="1687"/>
        <v>11200</v>
      </c>
      <c r="AQ315" s="46">
        <f t="shared" si="1687"/>
        <v>0</v>
      </c>
      <c r="AR315" s="46">
        <f t="shared" si="1687"/>
        <v>0</v>
      </c>
      <c r="AS315" s="46">
        <f t="shared" si="1687"/>
        <v>0</v>
      </c>
      <c r="AT315" s="46">
        <f t="shared" si="1687"/>
        <v>0</v>
      </c>
      <c r="AU315" s="46">
        <f t="shared" si="1687"/>
        <v>0</v>
      </c>
      <c r="AV315" s="46">
        <f t="shared" si="1687"/>
        <v>0</v>
      </c>
      <c r="AW315" s="46">
        <f t="shared" si="1687"/>
        <v>0</v>
      </c>
      <c r="AX315" s="46">
        <f t="shared" si="1687"/>
        <v>0</v>
      </c>
      <c r="AY315" s="46">
        <f t="shared" si="1687"/>
        <v>0</v>
      </c>
      <c r="AZ315" s="46">
        <f t="shared" si="1687"/>
        <v>0</v>
      </c>
      <c r="BA315" s="46">
        <f t="shared" si="1687"/>
        <v>0</v>
      </c>
      <c r="BB315" s="46">
        <f t="shared" si="1687"/>
        <v>0</v>
      </c>
      <c r="BC315" s="46">
        <f t="shared" si="1687"/>
        <v>0</v>
      </c>
      <c r="BD315" s="46">
        <f t="shared" si="1687"/>
        <v>0</v>
      </c>
      <c r="BE315" s="46">
        <f t="shared" si="1687"/>
        <v>0</v>
      </c>
      <c r="BF315" s="46">
        <f t="shared" si="1687"/>
        <v>0</v>
      </c>
      <c r="BG315" s="46">
        <f t="shared" si="1687"/>
        <v>0</v>
      </c>
      <c r="BH315" s="46">
        <f t="shared" si="1687"/>
        <v>0</v>
      </c>
      <c r="BI315" s="46">
        <f t="shared" si="1687"/>
        <v>0</v>
      </c>
      <c r="BJ315" s="46">
        <f t="shared" si="1687"/>
        <v>0</v>
      </c>
      <c r="BK315" s="46">
        <f t="shared" si="1687"/>
        <v>0</v>
      </c>
      <c r="BL315" s="46">
        <f t="shared" si="1687"/>
        <v>0</v>
      </c>
      <c r="BM315" s="46">
        <f t="shared" si="1687"/>
        <v>0</v>
      </c>
      <c r="BN315" s="46">
        <f t="shared" si="1687"/>
        <v>11200</v>
      </c>
      <c r="BO315" s="46">
        <f t="shared" si="1687"/>
        <v>0</v>
      </c>
      <c r="BP315" s="46">
        <f t="shared" si="1687"/>
        <v>11200</v>
      </c>
      <c r="BQ315" s="46">
        <f t="shared" si="1687"/>
        <v>25600</v>
      </c>
      <c r="BR315" s="46">
        <f t="shared" si="1687"/>
        <v>0</v>
      </c>
      <c r="BS315" s="46">
        <f t="shared" si="1687"/>
        <v>25600</v>
      </c>
      <c r="BT315" s="46">
        <f t="shared" si="1687"/>
        <v>0</v>
      </c>
      <c r="BU315" s="46">
        <f t="shared" si="1687"/>
        <v>11200</v>
      </c>
      <c r="BV315" s="46">
        <f t="shared" si="1687"/>
        <v>25600</v>
      </c>
      <c r="BW315" s="46">
        <f t="shared" si="1687"/>
        <v>36800</v>
      </c>
      <c r="BX315" s="51"/>
      <c r="BY315" s="51"/>
      <c r="BZ315" s="51"/>
      <c r="CA315" s="51"/>
      <c r="CB315" s="51"/>
      <c r="CC315" s="51"/>
      <c r="CD315" s="51"/>
      <c r="CE315" s="51"/>
      <c r="CF315" s="51"/>
      <c r="CG315" s="51"/>
    </row>
    <row r="316" spans="1:85" ht="15.75" customHeight="1">
      <c r="A316" s="104" t="s">
        <v>468</v>
      </c>
      <c r="B316" s="103"/>
      <c r="C316" s="104" t="s">
        <v>430</v>
      </c>
      <c r="D316" s="171" t="s">
        <v>469</v>
      </c>
      <c r="E316" s="56">
        <f>38132.26-1324.36</f>
        <v>36807.9</v>
      </c>
      <c r="F316" s="99">
        <v>0</v>
      </c>
      <c r="G316" s="58">
        <f>E316-F316</f>
        <v>36807.9</v>
      </c>
      <c r="H316" s="99">
        <v>0</v>
      </c>
      <c r="I316" s="59">
        <f t="shared" si="1582"/>
        <v>0.99978537216195429</v>
      </c>
      <c r="J316" s="59">
        <f t="shared" si="1583"/>
        <v>0.30428250457102957</v>
      </c>
      <c r="K316" s="74">
        <v>36800</v>
      </c>
      <c r="L316" s="74">
        <v>0</v>
      </c>
      <c r="M316" s="74">
        <v>0</v>
      </c>
      <c r="N316" s="74">
        <v>0</v>
      </c>
      <c r="O316" s="61">
        <f t="shared" ref="O316:Q316" si="1688">AA316+AD316+AG316+AJ316+AM316+AP316+AS316+AV316+AY316+BB316+BE316+BH316</f>
        <v>11200</v>
      </c>
      <c r="P316" s="61">
        <f t="shared" si="1688"/>
        <v>0</v>
      </c>
      <c r="Q316" s="61">
        <f t="shared" si="1688"/>
        <v>0</v>
      </c>
      <c r="R316" s="61">
        <f t="shared" ref="R316:T316" si="1689">IF(BK316=0,SUM(AA316+AD316+AG316+AJ316+AM316+AP316+AS316+AV316+AY316+BB316+BE316+BH316),BK316)</f>
        <v>11200</v>
      </c>
      <c r="S316" s="61">
        <f t="shared" si="1689"/>
        <v>0</v>
      </c>
      <c r="T316" s="61">
        <f t="shared" si="1689"/>
        <v>0</v>
      </c>
      <c r="U316" s="62">
        <f>K316-O316</f>
        <v>25600</v>
      </c>
      <c r="V316" s="63">
        <f>L316-M316-S316</f>
        <v>0</v>
      </c>
      <c r="W316" s="63">
        <f>N316-Q316</f>
        <v>0</v>
      </c>
      <c r="X316" s="64">
        <f t="shared" ref="X316:Y316" si="1690">IF(O316&gt;0,O316/K316,0)</f>
        <v>0.30434782608695654</v>
      </c>
      <c r="Y316" s="64">
        <f t="shared" si="1690"/>
        <v>0</v>
      </c>
      <c r="Z316" s="64">
        <f t="shared" si="1658"/>
        <v>0</v>
      </c>
      <c r="AA316" s="65"/>
      <c r="AB316" s="65"/>
      <c r="AC316" s="65"/>
      <c r="AD316" s="65"/>
      <c r="AE316" s="66"/>
      <c r="AF316" s="66"/>
      <c r="AG316" s="66"/>
      <c r="AH316" s="66"/>
      <c r="AI316" s="65"/>
      <c r="AJ316" s="65"/>
      <c r="AK316" s="65"/>
      <c r="AL316" s="65"/>
      <c r="AM316" s="65"/>
      <c r="AN316" s="65"/>
      <c r="AO316" s="65"/>
      <c r="AP316" s="65">
        <f>5600+5600</f>
        <v>11200</v>
      </c>
      <c r="AQ316" s="65"/>
      <c r="AR316" s="65"/>
      <c r="AS316" s="65"/>
      <c r="AT316" s="65"/>
      <c r="AU316" s="65"/>
      <c r="AV316" s="65"/>
      <c r="AW316" s="65"/>
      <c r="AX316" s="65"/>
      <c r="AY316" s="65"/>
      <c r="AZ316" s="65"/>
      <c r="BA316" s="65"/>
      <c r="BB316" s="65"/>
      <c r="BC316" s="65"/>
      <c r="BD316" s="65"/>
      <c r="BE316" s="65"/>
      <c r="BF316" s="65"/>
      <c r="BG316" s="65"/>
      <c r="BH316" s="65"/>
      <c r="BI316" s="65"/>
      <c r="BJ316" s="65"/>
      <c r="BK316" s="65">
        <v>0</v>
      </c>
      <c r="BL316" s="65">
        <v>0</v>
      </c>
      <c r="BM316" s="65">
        <v>0</v>
      </c>
      <c r="BN316" s="65">
        <f>IF(O316-BK316&gt;0,O316-BK316,0)</f>
        <v>11200</v>
      </c>
      <c r="BO316" s="67">
        <f>IF(Q316-BM316&gt;0,Q316-BM316,0)</f>
        <v>0</v>
      </c>
      <c r="BP316" s="65">
        <f>IF(BN316+BO316&gt;0,BN316+BO316,0)</f>
        <v>11200</v>
      </c>
      <c r="BQ316" s="65">
        <f>IF(U316=0,0,U316)</f>
        <v>25600</v>
      </c>
      <c r="BR316" s="65">
        <f>IF(W316=0,0,W316)</f>
        <v>0</v>
      </c>
      <c r="BS316" s="65">
        <f>IF(BQ316+BR316&gt;0,BQ316+BR316,0)</f>
        <v>25600</v>
      </c>
      <c r="BT316" s="65">
        <f>IF(V316&gt;0,V316,0)</f>
        <v>0</v>
      </c>
      <c r="BU316" s="65">
        <f>IF(BP316=0,0,BP316)</f>
        <v>11200</v>
      </c>
      <c r="BV316" s="65">
        <f>IF(BS316=0,0,BS316)</f>
        <v>25600</v>
      </c>
      <c r="BW316" s="65">
        <f>IF(BP316+BT316+BV316&gt;0,BP316+BT316+BV316,0)</f>
        <v>36800</v>
      </c>
      <c r="BX316" s="6"/>
      <c r="BY316" s="6"/>
      <c r="BZ316" s="6"/>
      <c r="CA316" s="6"/>
      <c r="CB316" s="6"/>
      <c r="CC316" s="6"/>
      <c r="CD316" s="6"/>
      <c r="CE316" s="6"/>
      <c r="CF316" s="6"/>
      <c r="CG316" s="6"/>
    </row>
    <row r="317" spans="1:85" ht="15.75" customHeight="1">
      <c r="A317" s="75"/>
      <c r="B317" s="76"/>
      <c r="C317" s="77"/>
      <c r="D317" s="78" t="s">
        <v>168</v>
      </c>
      <c r="E317" s="45">
        <f t="shared" ref="E317:H317" si="1691">E318</f>
        <v>0</v>
      </c>
      <c r="F317" s="46">
        <f t="shared" si="1691"/>
        <v>0</v>
      </c>
      <c r="G317" s="46">
        <f t="shared" si="1691"/>
        <v>0</v>
      </c>
      <c r="H317" s="46">
        <f t="shared" si="1691"/>
        <v>0</v>
      </c>
      <c r="I317" s="47">
        <f t="shared" si="1582"/>
        <v>0</v>
      </c>
      <c r="J317" s="47">
        <f t="shared" si="1583"/>
        <v>0</v>
      </c>
      <c r="K317" s="46">
        <f t="shared" ref="K317:W317" si="1692">K318</f>
        <v>0</v>
      </c>
      <c r="L317" s="46">
        <f t="shared" si="1692"/>
        <v>0</v>
      </c>
      <c r="M317" s="46">
        <f t="shared" si="1692"/>
        <v>0</v>
      </c>
      <c r="N317" s="46">
        <f t="shared" si="1692"/>
        <v>0</v>
      </c>
      <c r="O317" s="46">
        <f t="shared" si="1692"/>
        <v>0</v>
      </c>
      <c r="P317" s="46">
        <f t="shared" si="1692"/>
        <v>0</v>
      </c>
      <c r="Q317" s="46">
        <f t="shared" si="1692"/>
        <v>0</v>
      </c>
      <c r="R317" s="46">
        <f t="shared" si="1692"/>
        <v>0</v>
      </c>
      <c r="S317" s="46">
        <f t="shared" si="1692"/>
        <v>0</v>
      </c>
      <c r="T317" s="46">
        <f t="shared" si="1692"/>
        <v>0</v>
      </c>
      <c r="U317" s="46">
        <f t="shared" si="1692"/>
        <v>0</v>
      </c>
      <c r="V317" s="46">
        <f t="shared" si="1692"/>
        <v>0</v>
      </c>
      <c r="W317" s="46">
        <f t="shared" si="1692"/>
        <v>0</v>
      </c>
      <c r="X317" s="50">
        <f t="shared" ref="X317:Y317" si="1693">IF(O317&gt;0,O317/K317,0)</f>
        <v>0</v>
      </c>
      <c r="Y317" s="50">
        <f t="shared" si="1693"/>
        <v>0</v>
      </c>
      <c r="Z317" s="50">
        <f t="shared" si="1658"/>
        <v>0</v>
      </c>
      <c r="AA317" s="46">
        <f t="shared" ref="AA317:BW317" si="1694">AA318</f>
        <v>0</v>
      </c>
      <c r="AB317" s="46">
        <f t="shared" si="1694"/>
        <v>0</v>
      </c>
      <c r="AC317" s="46">
        <f t="shared" si="1694"/>
        <v>0</v>
      </c>
      <c r="AD317" s="46">
        <f t="shared" si="1694"/>
        <v>0</v>
      </c>
      <c r="AE317" s="46">
        <f t="shared" si="1694"/>
        <v>0</v>
      </c>
      <c r="AF317" s="46">
        <f t="shared" si="1694"/>
        <v>0</v>
      </c>
      <c r="AG317" s="46">
        <f t="shared" si="1694"/>
        <v>0</v>
      </c>
      <c r="AH317" s="46">
        <f t="shared" si="1694"/>
        <v>0</v>
      </c>
      <c r="AI317" s="46">
        <f t="shared" si="1694"/>
        <v>0</v>
      </c>
      <c r="AJ317" s="46">
        <f t="shared" si="1694"/>
        <v>0</v>
      </c>
      <c r="AK317" s="46">
        <f t="shared" si="1694"/>
        <v>0</v>
      </c>
      <c r="AL317" s="46">
        <f t="shared" si="1694"/>
        <v>0</v>
      </c>
      <c r="AM317" s="46">
        <f t="shared" si="1694"/>
        <v>0</v>
      </c>
      <c r="AN317" s="46">
        <f t="shared" si="1694"/>
        <v>0</v>
      </c>
      <c r="AO317" s="46">
        <f t="shared" si="1694"/>
        <v>0</v>
      </c>
      <c r="AP317" s="46">
        <f t="shared" si="1694"/>
        <v>0</v>
      </c>
      <c r="AQ317" s="46">
        <f t="shared" si="1694"/>
        <v>0</v>
      </c>
      <c r="AR317" s="46">
        <f t="shared" si="1694"/>
        <v>0</v>
      </c>
      <c r="AS317" s="46">
        <f t="shared" si="1694"/>
        <v>0</v>
      </c>
      <c r="AT317" s="46">
        <f t="shared" si="1694"/>
        <v>0</v>
      </c>
      <c r="AU317" s="46">
        <f t="shared" si="1694"/>
        <v>0</v>
      </c>
      <c r="AV317" s="46">
        <f t="shared" si="1694"/>
        <v>0</v>
      </c>
      <c r="AW317" s="46">
        <f t="shared" si="1694"/>
        <v>0</v>
      </c>
      <c r="AX317" s="46">
        <f t="shared" si="1694"/>
        <v>0</v>
      </c>
      <c r="AY317" s="46">
        <f t="shared" si="1694"/>
        <v>0</v>
      </c>
      <c r="AZ317" s="46">
        <f t="shared" si="1694"/>
        <v>0</v>
      </c>
      <c r="BA317" s="46">
        <f t="shared" si="1694"/>
        <v>0</v>
      </c>
      <c r="BB317" s="46">
        <f t="shared" si="1694"/>
        <v>0</v>
      </c>
      <c r="BC317" s="46">
        <f t="shared" si="1694"/>
        <v>0</v>
      </c>
      <c r="BD317" s="46">
        <f t="shared" si="1694"/>
        <v>0</v>
      </c>
      <c r="BE317" s="46">
        <f t="shared" si="1694"/>
        <v>0</v>
      </c>
      <c r="BF317" s="46">
        <f t="shared" si="1694"/>
        <v>0</v>
      </c>
      <c r="BG317" s="46">
        <f t="shared" si="1694"/>
        <v>0</v>
      </c>
      <c r="BH317" s="46">
        <f t="shared" si="1694"/>
        <v>0</v>
      </c>
      <c r="BI317" s="46">
        <f t="shared" si="1694"/>
        <v>0</v>
      </c>
      <c r="BJ317" s="46">
        <f t="shared" si="1694"/>
        <v>0</v>
      </c>
      <c r="BK317" s="46">
        <f t="shared" si="1694"/>
        <v>0</v>
      </c>
      <c r="BL317" s="46">
        <f t="shared" si="1694"/>
        <v>0</v>
      </c>
      <c r="BM317" s="46">
        <f t="shared" si="1694"/>
        <v>0</v>
      </c>
      <c r="BN317" s="46">
        <f t="shared" si="1694"/>
        <v>0</v>
      </c>
      <c r="BO317" s="46">
        <f t="shared" si="1694"/>
        <v>0</v>
      </c>
      <c r="BP317" s="46">
        <f t="shared" si="1694"/>
        <v>0</v>
      </c>
      <c r="BQ317" s="46">
        <f t="shared" si="1694"/>
        <v>0</v>
      </c>
      <c r="BR317" s="46">
        <f t="shared" si="1694"/>
        <v>0</v>
      </c>
      <c r="BS317" s="46">
        <f t="shared" si="1694"/>
        <v>0</v>
      </c>
      <c r="BT317" s="46">
        <f t="shared" si="1694"/>
        <v>0</v>
      </c>
      <c r="BU317" s="46">
        <f t="shared" si="1694"/>
        <v>0</v>
      </c>
      <c r="BV317" s="46">
        <f t="shared" si="1694"/>
        <v>0</v>
      </c>
      <c r="BW317" s="46">
        <f t="shared" si="1694"/>
        <v>0</v>
      </c>
      <c r="BX317" s="51"/>
      <c r="BY317" s="51"/>
      <c r="BZ317" s="51"/>
      <c r="CA317" s="51"/>
      <c r="CB317" s="51"/>
      <c r="CC317" s="51"/>
      <c r="CD317" s="51"/>
      <c r="CE317" s="51"/>
      <c r="CF317" s="51"/>
      <c r="CG317" s="51"/>
    </row>
    <row r="318" spans="1:85" ht="15.75" customHeight="1">
      <c r="A318" s="71"/>
      <c r="B318" s="72"/>
      <c r="C318" s="71" t="s">
        <v>316</v>
      </c>
      <c r="D318" s="316" t="s">
        <v>470</v>
      </c>
      <c r="E318" s="99">
        <v>0</v>
      </c>
      <c r="F318" s="99">
        <v>0</v>
      </c>
      <c r="G318" s="58">
        <f>E318-F318</f>
        <v>0</v>
      </c>
      <c r="H318" s="99">
        <v>0</v>
      </c>
      <c r="I318" s="59">
        <f t="shared" si="1582"/>
        <v>0</v>
      </c>
      <c r="J318" s="59">
        <f t="shared" si="1583"/>
        <v>0</v>
      </c>
      <c r="K318" s="74">
        <v>0</v>
      </c>
      <c r="L318" s="74">
        <v>0</v>
      </c>
      <c r="M318" s="74">
        <v>0</v>
      </c>
      <c r="N318" s="74">
        <v>0</v>
      </c>
      <c r="O318" s="61">
        <f t="shared" ref="O318:Q318" si="1695">AA318+AD318+AG318+AJ318+AM318+AP318+AS318+AV318+AY318+BB318+BE318+BH318</f>
        <v>0</v>
      </c>
      <c r="P318" s="61">
        <f t="shared" si="1695"/>
        <v>0</v>
      </c>
      <c r="Q318" s="61">
        <f t="shared" si="1695"/>
        <v>0</v>
      </c>
      <c r="R318" s="61">
        <f t="shared" ref="R318:T318" si="1696">IF(BK318=0,SUM(AA318+AD318+AG318+AJ318+AM318+AP318+AS318+AV318+AY318+BB318+BE318+BH318),BK318)</f>
        <v>0</v>
      </c>
      <c r="S318" s="61">
        <f t="shared" si="1696"/>
        <v>0</v>
      </c>
      <c r="T318" s="61">
        <f t="shared" si="1696"/>
        <v>0</v>
      </c>
      <c r="U318" s="63">
        <f>K318-O318</f>
        <v>0</v>
      </c>
      <c r="V318" s="63">
        <f>L318-M318-S318</f>
        <v>0</v>
      </c>
      <c r="W318" s="63">
        <f>N318-Q318</f>
        <v>0</v>
      </c>
      <c r="X318" s="64">
        <f t="shared" ref="X318:Y318" si="1697">IF(O318&gt;0,O318/K318,0)</f>
        <v>0</v>
      </c>
      <c r="Y318" s="64">
        <f t="shared" si="1697"/>
        <v>0</v>
      </c>
      <c r="Z318" s="64">
        <f t="shared" si="1658"/>
        <v>0</v>
      </c>
      <c r="AA318" s="65"/>
      <c r="AB318" s="65"/>
      <c r="AC318" s="65"/>
      <c r="AD318" s="65"/>
      <c r="AE318" s="66"/>
      <c r="AF318" s="66"/>
      <c r="AG318" s="66"/>
      <c r="AH318" s="66"/>
      <c r="AI318" s="65"/>
      <c r="AJ318" s="65"/>
      <c r="AK318" s="65"/>
      <c r="AL318" s="65"/>
      <c r="AM318" s="65"/>
      <c r="AN318" s="65"/>
      <c r="AO318" s="65"/>
      <c r="AP318" s="65"/>
      <c r="AQ318" s="65"/>
      <c r="AR318" s="65"/>
      <c r="AS318" s="65"/>
      <c r="AT318" s="65"/>
      <c r="AU318" s="65"/>
      <c r="AV318" s="65"/>
      <c r="AW318" s="65"/>
      <c r="AX318" s="65"/>
      <c r="AY318" s="65"/>
      <c r="AZ318" s="65"/>
      <c r="BA318" s="65"/>
      <c r="BB318" s="65"/>
      <c r="BC318" s="65"/>
      <c r="BD318" s="65"/>
      <c r="BE318" s="65"/>
      <c r="BF318" s="65"/>
      <c r="BG318" s="65"/>
      <c r="BH318" s="65"/>
      <c r="BI318" s="65"/>
      <c r="BJ318" s="65"/>
      <c r="BK318" s="65">
        <v>0</v>
      </c>
      <c r="BL318" s="65">
        <v>0</v>
      </c>
      <c r="BM318" s="65">
        <v>0</v>
      </c>
      <c r="BN318" s="65">
        <f>IF(O318-BK318&gt;0,O318-BK318,0)</f>
        <v>0</v>
      </c>
      <c r="BO318" s="67">
        <f>IF(Q318-BM318&gt;0,Q318-BM318,0)</f>
        <v>0</v>
      </c>
      <c r="BP318" s="65">
        <f>IF(BN318+BO318&gt;0,BN318+BO318,0)</f>
        <v>0</v>
      </c>
      <c r="BQ318" s="65">
        <f>IF(U318=0,0,U318)</f>
        <v>0</v>
      </c>
      <c r="BR318" s="65">
        <f>IF(W318=0,0,W318)</f>
        <v>0</v>
      </c>
      <c r="BS318" s="65">
        <f>IF(BQ318+BR318&gt;0,BQ318+BR318,0)</f>
        <v>0</v>
      </c>
      <c r="BT318" s="65">
        <f>IF(V318&gt;0,V318,0)</f>
        <v>0</v>
      </c>
      <c r="BU318" s="65">
        <f>IF(BP318=0,0,BP318)</f>
        <v>0</v>
      </c>
      <c r="BV318" s="65">
        <f>IF(BS318=0,0,BS318)</f>
        <v>0</v>
      </c>
      <c r="BW318" s="65">
        <f>IF(BP318+BT318+BV318&gt;0,BP318+BT318+BV318,0)</f>
        <v>0</v>
      </c>
      <c r="BX318" s="6"/>
      <c r="BY318" s="6"/>
      <c r="BZ318" s="6"/>
      <c r="CA318" s="6"/>
      <c r="CB318" s="6"/>
      <c r="CC318" s="6"/>
      <c r="CD318" s="6"/>
      <c r="CE318" s="6"/>
      <c r="CF318" s="6"/>
      <c r="CG318" s="6"/>
    </row>
    <row r="319" spans="1:85" ht="15.75" customHeight="1">
      <c r="A319" s="315"/>
      <c r="B319" s="35"/>
      <c r="C319" s="36"/>
      <c r="D319" s="37" t="s">
        <v>471</v>
      </c>
      <c r="E319" s="38">
        <f t="shared" ref="E319:H319" si="1698">E320+E322</f>
        <v>120000</v>
      </c>
      <c r="F319" s="252">
        <f t="shared" si="1698"/>
        <v>0</v>
      </c>
      <c r="G319" s="252">
        <f t="shared" si="1698"/>
        <v>120000</v>
      </c>
      <c r="H319" s="252">
        <f t="shared" si="1698"/>
        <v>0</v>
      </c>
      <c r="I319" s="39">
        <f t="shared" si="1582"/>
        <v>0</v>
      </c>
      <c r="J319" s="39">
        <f t="shared" si="1583"/>
        <v>0</v>
      </c>
      <c r="K319" s="252">
        <f t="shared" ref="K319:W319" si="1699">K320+K322</f>
        <v>0</v>
      </c>
      <c r="L319" s="252">
        <f t="shared" si="1699"/>
        <v>0</v>
      </c>
      <c r="M319" s="252">
        <f t="shared" si="1699"/>
        <v>0</v>
      </c>
      <c r="N319" s="252">
        <f t="shared" si="1699"/>
        <v>0</v>
      </c>
      <c r="O319" s="252">
        <f t="shared" si="1699"/>
        <v>0</v>
      </c>
      <c r="P319" s="252">
        <f t="shared" si="1699"/>
        <v>0</v>
      </c>
      <c r="Q319" s="252">
        <f t="shared" si="1699"/>
        <v>0</v>
      </c>
      <c r="R319" s="252">
        <f t="shared" si="1699"/>
        <v>0</v>
      </c>
      <c r="S319" s="252">
        <f t="shared" si="1699"/>
        <v>0</v>
      </c>
      <c r="T319" s="252">
        <f t="shared" si="1699"/>
        <v>0</v>
      </c>
      <c r="U319" s="252">
        <f t="shared" si="1699"/>
        <v>0</v>
      </c>
      <c r="V319" s="252">
        <f t="shared" si="1699"/>
        <v>0</v>
      </c>
      <c r="W319" s="252">
        <f t="shared" si="1699"/>
        <v>0</v>
      </c>
      <c r="X319" s="40">
        <f t="shared" ref="X319:Y319" si="1700">IF(O319&gt;0,O319/K319,0)</f>
        <v>0</v>
      </c>
      <c r="Y319" s="40">
        <f t="shared" si="1700"/>
        <v>0</v>
      </c>
      <c r="Z319" s="40">
        <f t="shared" si="1658"/>
        <v>0</v>
      </c>
      <c r="AA319" s="252">
        <f t="shared" ref="AA319:BW319" si="1701">AA320+AA322</f>
        <v>0</v>
      </c>
      <c r="AB319" s="252">
        <f t="shared" si="1701"/>
        <v>0</v>
      </c>
      <c r="AC319" s="252">
        <f t="shared" si="1701"/>
        <v>0</v>
      </c>
      <c r="AD319" s="252">
        <f t="shared" si="1701"/>
        <v>0</v>
      </c>
      <c r="AE319" s="252">
        <f t="shared" si="1701"/>
        <v>0</v>
      </c>
      <c r="AF319" s="252">
        <f t="shared" si="1701"/>
        <v>0</v>
      </c>
      <c r="AG319" s="252">
        <f t="shared" si="1701"/>
        <v>0</v>
      </c>
      <c r="AH319" s="252">
        <f t="shared" si="1701"/>
        <v>0</v>
      </c>
      <c r="AI319" s="252">
        <f t="shared" si="1701"/>
        <v>0</v>
      </c>
      <c r="AJ319" s="252">
        <f t="shared" si="1701"/>
        <v>0</v>
      </c>
      <c r="AK319" s="252">
        <f t="shared" si="1701"/>
        <v>0</v>
      </c>
      <c r="AL319" s="252">
        <f t="shared" si="1701"/>
        <v>0</v>
      </c>
      <c r="AM319" s="252">
        <f t="shared" si="1701"/>
        <v>0</v>
      </c>
      <c r="AN319" s="252">
        <f t="shared" si="1701"/>
        <v>0</v>
      </c>
      <c r="AO319" s="252">
        <f t="shared" si="1701"/>
        <v>0</v>
      </c>
      <c r="AP319" s="252">
        <f t="shared" si="1701"/>
        <v>0</v>
      </c>
      <c r="AQ319" s="252">
        <f t="shared" si="1701"/>
        <v>0</v>
      </c>
      <c r="AR319" s="252">
        <f t="shared" si="1701"/>
        <v>0</v>
      </c>
      <c r="AS319" s="252">
        <f t="shared" si="1701"/>
        <v>0</v>
      </c>
      <c r="AT319" s="252">
        <f t="shared" si="1701"/>
        <v>0</v>
      </c>
      <c r="AU319" s="252">
        <f t="shared" si="1701"/>
        <v>0</v>
      </c>
      <c r="AV319" s="252">
        <f t="shared" si="1701"/>
        <v>0</v>
      </c>
      <c r="AW319" s="252">
        <f t="shared" si="1701"/>
        <v>0</v>
      </c>
      <c r="AX319" s="252">
        <f t="shared" si="1701"/>
        <v>0</v>
      </c>
      <c r="AY319" s="252">
        <f t="shared" si="1701"/>
        <v>0</v>
      </c>
      <c r="AZ319" s="252">
        <f t="shared" si="1701"/>
        <v>0</v>
      </c>
      <c r="BA319" s="252">
        <f t="shared" si="1701"/>
        <v>0</v>
      </c>
      <c r="BB319" s="252">
        <f t="shared" si="1701"/>
        <v>0</v>
      </c>
      <c r="BC319" s="252">
        <f t="shared" si="1701"/>
        <v>0</v>
      </c>
      <c r="BD319" s="252">
        <f t="shared" si="1701"/>
        <v>0</v>
      </c>
      <c r="BE319" s="252">
        <f t="shared" si="1701"/>
        <v>0</v>
      </c>
      <c r="BF319" s="252">
        <f t="shared" si="1701"/>
        <v>0</v>
      </c>
      <c r="BG319" s="252">
        <f t="shared" si="1701"/>
        <v>0</v>
      </c>
      <c r="BH319" s="252">
        <f t="shared" si="1701"/>
        <v>0</v>
      </c>
      <c r="BI319" s="252">
        <f t="shared" si="1701"/>
        <v>0</v>
      </c>
      <c r="BJ319" s="252">
        <f t="shared" si="1701"/>
        <v>0</v>
      </c>
      <c r="BK319" s="252">
        <f t="shared" si="1701"/>
        <v>0</v>
      </c>
      <c r="BL319" s="252">
        <f t="shared" si="1701"/>
        <v>0</v>
      </c>
      <c r="BM319" s="252">
        <f t="shared" si="1701"/>
        <v>0</v>
      </c>
      <c r="BN319" s="252">
        <f t="shared" si="1701"/>
        <v>0</v>
      </c>
      <c r="BO319" s="252">
        <f t="shared" si="1701"/>
        <v>0</v>
      </c>
      <c r="BP319" s="252">
        <f t="shared" si="1701"/>
        <v>0</v>
      </c>
      <c r="BQ319" s="252">
        <f t="shared" si="1701"/>
        <v>0</v>
      </c>
      <c r="BR319" s="252">
        <f t="shared" si="1701"/>
        <v>0</v>
      </c>
      <c r="BS319" s="252">
        <f t="shared" si="1701"/>
        <v>0</v>
      </c>
      <c r="BT319" s="252">
        <f t="shared" si="1701"/>
        <v>0</v>
      </c>
      <c r="BU319" s="252">
        <f t="shared" si="1701"/>
        <v>0</v>
      </c>
      <c r="BV319" s="252">
        <f t="shared" si="1701"/>
        <v>0</v>
      </c>
      <c r="BW319" s="252">
        <f t="shared" si="1701"/>
        <v>0</v>
      </c>
      <c r="BX319" s="6"/>
      <c r="BY319" s="6"/>
      <c r="BZ319" s="6"/>
      <c r="CA319" s="6"/>
      <c r="CB319" s="6"/>
      <c r="CC319" s="6"/>
      <c r="CD319" s="6"/>
      <c r="CE319" s="6"/>
      <c r="CF319" s="6"/>
      <c r="CG319" s="6"/>
    </row>
    <row r="320" spans="1:85" ht="15.75" customHeight="1">
      <c r="A320" s="317"/>
      <c r="B320" s="318"/>
      <c r="C320" s="319"/>
      <c r="D320" s="44" t="s">
        <v>168</v>
      </c>
      <c r="E320" s="45">
        <f t="shared" ref="E320:H320" si="1702">E321</f>
        <v>120000</v>
      </c>
      <c r="F320" s="46">
        <f t="shared" si="1702"/>
        <v>0</v>
      </c>
      <c r="G320" s="46">
        <f t="shared" si="1702"/>
        <v>120000</v>
      </c>
      <c r="H320" s="46">
        <f t="shared" si="1702"/>
        <v>0</v>
      </c>
      <c r="I320" s="47">
        <f t="shared" si="1582"/>
        <v>0</v>
      </c>
      <c r="J320" s="47">
        <f t="shared" si="1583"/>
        <v>0</v>
      </c>
      <c r="K320" s="46">
        <f t="shared" ref="K320:W320" si="1703">K321</f>
        <v>0</v>
      </c>
      <c r="L320" s="46">
        <f t="shared" si="1703"/>
        <v>0</v>
      </c>
      <c r="M320" s="46">
        <f t="shared" si="1703"/>
        <v>0</v>
      </c>
      <c r="N320" s="46">
        <f t="shared" si="1703"/>
        <v>0</v>
      </c>
      <c r="O320" s="46">
        <f t="shared" si="1703"/>
        <v>0</v>
      </c>
      <c r="P320" s="46">
        <f t="shared" si="1703"/>
        <v>0</v>
      </c>
      <c r="Q320" s="46">
        <f t="shared" si="1703"/>
        <v>0</v>
      </c>
      <c r="R320" s="46">
        <f t="shared" si="1703"/>
        <v>0</v>
      </c>
      <c r="S320" s="46">
        <f t="shared" si="1703"/>
        <v>0</v>
      </c>
      <c r="T320" s="46">
        <f t="shared" si="1703"/>
        <v>0</v>
      </c>
      <c r="U320" s="46">
        <f t="shared" si="1703"/>
        <v>0</v>
      </c>
      <c r="V320" s="46">
        <f t="shared" si="1703"/>
        <v>0</v>
      </c>
      <c r="W320" s="46">
        <f t="shared" si="1703"/>
        <v>0</v>
      </c>
      <c r="X320" s="50">
        <f t="shared" ref="X320:Y320" si="1704">IF(O320&gt;0,O320/K320,0)</f>
        <v>0</v>
      </c>
      <c r="Y320" s="50">
        <f t="shared" si="1704"/>
        <v>0</v>
      </c>
      <c r="Z320" s="50">
        <f t="shared" si="1658"/>
        <v>0</v>
      </c>
      <c r="AA320" s="46">
        <f t="shared" ref="AA320:BW320" si="1705">AA321</f>
        <v>0</v>
      </c>
      <c r="AB320" s="46">
        <f t="shared" si="1705"/>
        <v>0</v>
      </c>
      <c r="AC320" s="46">
        <f t="shared" si="1705"/>
        <v>0</v>
      </c>
      <c r="AD320" s="46">
        <f t="shared" si="1705"/>
        <v>0</v>
      </c>
      <c r="AE320" s="46">
        <f t="shared" si="1705"/>
        <v>0</v>
      </c>
      <c r="AF320" s="46">
        <f t="shared" si="1705"/>
        <v>0</v>
      </c>
      <c r="AG320" s="46">
        <f t="shared" si="1705"/>
        <v>0</v>
      </c>
      <c r="AH320" s="46">
        <f t="shared" si="1705"/>
        <v>0</v>
      </c>
      <c r="AI320" s="46">
        <f t="shared" si="1705"/>
        <v>0</v>
      </c>
      <c r="AJ320" s="46">
        <f t="shared" si="1705"/>
        <v>0</v>
      </c>
      <c r="AK320" s="46">
        <f t="shared" si="1705"/>
        <v>0</v>
      </c>
      <c r="AL320" s="46">
        <f t="shared" si="1705"/>
        <v>0</v>
      </c>
      <c r="AM320" s="46">
        <f t="shared" si="1705"/>
        <v>0</v>
      </c>
      <c r="AN320" s="46">
        <f t="shared" si="1705"/>
        <v>0</v>
      </c>
      <c r="AO320" s="46">
        <f t="shared" si="1705"/>
        <v>0</v>
      </c>
      <c r="AP320" s="46">
        <f t="shared" si="1705"/>
        <v>0</v>
      </c>
      <c r="AQ320" s="46">
        <f t="shared" si="1705"/>
        <v>0</v>
      </c>
      <c r="AR320" s="46">
        <f t="shared" si="1705"/>
        <v>0</v>
      </c>
      <c r="AS320" s="46">
        <f t="shared" si="1705"/>
        <v>0</v>
      </c>
      <c r="AT320" s="46">
        <f t="shared" si="1705"/>
        <v>0</v>
      </c>
      <c r="AU320" s="46">
        <f t="shared" si="1705"/>
        <v>0</v>
      </c>
      <c r="AV320" s="46">
        <f t="shared" si="1705"/>
        <v>0</v>
      </c>
      <c r="AW320" s="46">
        <f t="shared" si="1705"/>
        <v>0</v>
      </c>
      <c r="AX320" s="46">
        <f t="shared" si="1705"/>
        <v>0</v>
      </c>
      <c r="AY320" s="46">
        <f t="shared" si="1705"/>
        <v>0</v>
      </c>
      <c r="AZ320" s="46">
        <f t="shared" si="1705"/>
        <v>0</v>
      </c>
      <c r="BA320" s="46">
        <f t="shared" si="1705"/>
        <v>0</v>
      </c>
      <c r="BB320" s="46">
        <f t="shared" si="1705"/>
        <v>0</v>
      </c>
      <c r="BC320" s="46">
        <f t="shared" si="1705"/>
        <v>0</v>
      </c>
      <c r="BD320" s="46">
        <f t="shared" si="1705"/>
        <v>0</v>
      </c>
      <c r="BE320" s="46">
        <f t="shared" si="1705"/>
        <v>0</v>
      </c>
      <c r="BF320" s="46">
        <f t="shared" si="1705"/>
        <v>0</v>
      </c>
      <c r="BG320" s="46">
        <f t="shared" si="1705"/>
        <v>0</v>
      </c>
      <c r="BH320" s="46">
        <f t="shared" si="1705"/>
        <v>0</v>
      </c>
      <c r="BI320" s="46">
        <f t="shared" si="1705"/>
        <v>0</v>
      </c>
      <c r="BJ320" s="46">
        <f t="shared" si="1705"/>
        <v>0</v>
      </c>
      <c r="BK320" s="46">
        <f t="shared" si="1705"/>
        <v>0</v>
      </c>
      <c r="BL320" s="46">
        <f t="shared" si="1705"/>
        <v>0</v>
      </c>
      <c r="BM320" s="46">
        <f t="shared" si="1705"/>
        <v>0</v>
      </c>
      <c r="BN320" s="46">
        <f t="shared" si="1705"/>
        <v>0</v>
      </c>
      <c r="BO320" s="46">
        <f t="shared" si="1705"/>
        <v>0</v>
      </c>
      <c r="BP320" s="46">
        <f t="shared" si="1705"/>
        <v>0</v>
      </c>
      <c r="BQ320" s="46">
        <f t="shared" si="1705"/>
        <v>0</v>
      </c>
      <c r="BR320" s="46">
        <f t="shared" si="1705"/>
        <v>0</v>
      </c>
      <c r="BS320" s="46">
        <f t="shared" si="1705"/>
        <v>0</v>
      </c>
      <c r="BT320" s="46">
        <f t="shared" si="1705"/>
        <v>0</v>
      </c>
      <c r="BU320" s="46">
        <f t="shared" si="1705"/>
        <v>0</v>
      </c>
      <c r="BV320" s="46">
        <f t="shared" si="1705"/>
        <v>0</v>
      </c>
      <c r="BW320" s="46">
        <f t="shared" si="1705"/>
        <v>0</v>
      </c>
      <c r="BX320" s="6"/>
      <c r="BY320" s="6"/>
      <c r="BZ320" s="6"/>
      <c r="CA320" s="6"/>
      <c r="CB320" s="6"/>
      <c r="CC320" s="6"/>
      <c r="CD320" s="6"/>
      <c r="CE320" s="6"/>
      <c r="CF320" s="6"/>
      <c r="CG320" s="6"/>
    </row>
    <row r="321" spans="1:85" ht="15.75" customHeight="1">
      <c r="A321" s="68"/>
      <c r="B321" s="103"/>
      <c r="C321" s="104" t="s">
        <v>472</v>
      </c>
      <c r="D321" s="105" t="s">
        <v>473</v>
      </c>
      <c r="E321" s="56">
        <v>120000</v>
      </c>
      <c r="F321" s="99">
        <v>0</v>
      </c>
      <c r="G321" s="58">
        <f>E321-F321</f>
        <v>120000</v>
      </c>
      <c r="H321" s="99">
        <v>0</v>
      </c>
      <c r="I321" s="59">
        <f t="shared" si="1582"/>
        <v>0</v>
      </c>
      <c r="J321" s="59">
        <f t="shared" si="1583"/>
        <v>0</v>
      </c>
      <c r="K321" s="74">
        <v>0</v>
      </c>
      <c r="L321" s="74">
        <v>0</v>
      </c>
      <c r="M321" s="74">
        <v>0</v>
      </c>
      <c r="N321" s="74">
        <v>0</v>
      </c>
      <c r="O321" s="61">
        <f t="shared" ref="O321:Q321" si="1706">AA321+AD321+AG321+AJ321+AM321+AP321+AS321+AV321+AY321+BB321+BE321+BH321</f>
        <v>0</v>
      </c>
      <c r="P321" s="61">
        <f t="shared" si="1706"/>
        <v>0</v>
      </c>
      <c r="Q321" s="61">
        <f t="shared" si="1706"/>
        <v>0</v>
      </c>
      <c r="R321" s="61">
        <f t="shared" ref="R321:T321" si="1707">IF(BK321=0,SUM(AA321+AD321+AG321+AJ321+AM321+AP321+AS321+AV321+AY321+BB321+BE321+BH321),BK321)</f>
        <v>0</v>
      </c>
      <c r="S321" s="61">
        <f t="shared" si="1707"/>
        <v>0</v>
      </c>
      <c r="T321" s="61">
        <f t="shared" si="1707"/>
        <v>0</v>
      </c>
      <c r="U321" s="63">
        <f>K321-O321</f>
        <v>0</v>
      </c>
      <c r="V321" s="63">
        <f>L321-M321-S321</f>
        <v>0</v>
      </c>
      <c r="W321" s="63">
        <f>N321-Q321</f>
        <v>0</v>
      </c>
      <c r="X321" s="64">
        <f t="shared" ref="X321:Y321" si="1708">IF(O321&gt;0,O321/K321,0)</f>
        <v>0</v>
      </c>
      <c r="Y321" s="64">
        <f t="shared" si="1708"/>
        <v>0</v>
      </c>
      <c r="Z321" s="64">
        <f t="shared" si="1658"/>
        <v>0</v>
      </c>
      <c r="AA321" s="65"/>
      <c r="AB321" s="65"/>
      <c r="AC321" s="65"/>
      <c r="AD321" s="65"/>
      <c r="AE321" s="66"/>
      <c r="AF321" s="66"/>
      <c r="AG321" s="66"/>
      <c r="AH321" s="66"/>
      <c r="AI321" s="65"/>
      <c r="AJ321" s="65"/>
      <c r="AK321" s="65"/>
      <c r="AL321" s="65"/>
      <c r="AM321" s="65"/>
      <c r="AN321" s="65"/>
      <c r="AO321" s="65"/>
      <c r="AP321" s="65"/>
      <c r="AQ321" s="65"/>
      <c r="AR321" s="65"/>
      <c r="AS321" s="65"/>
      <c r="AT321" s="65"/>
      <c r="AU321" s="65"/>
      <c r="AV321" s="65"/>
      <c r="AW321" s="65"/>
      <c r="AX321" s="65"/>
      <c r="AY321" s="65"/>
      <c r="AZ321" s="65"/>
      <c r="BA321" s="65"/>
      <c r="BB321" s="65"/>
      <c r="BC321" s="65"/>
      <c r="BD321" s="65"/>
      <c r="BE321" s="65"/>
      <c r="BF321" s="65"/>
      <c r="BG321" s="65"/>
      <c r="BH321" s="65"/>
      <c r="BI321" s="65"/>
      <c r="BJ321" s="65"/>
      <c r="BK321" s="65">
        <v>0</v>
      </c>
      <c r="BL321" s="65">
        <v>0</v>
      </c>
      <c r="BM321" s="65">
        <v>0</v>
      </c>
      <c r="BN321" s="65">
        <f>IF(O321-BK321&gt;0,O321-BK321,0)</f>
        <v>0</v>
      </c>
      <c r="BO321" s="67">
        <f>IF(Q321-BM321&gt;0,Q321-BM321,0)</f>
        <v>0</v>
      </c>
      <c r="BP321" s="65">
        <f>IF(BN321+BO321&gt;0,BN321+BO321,0)</f>
        <v>0</v>
      </c>
      <c r="BQ321" s="65">
        <f>IF(U321=0,0,U321)</f>
        <v>0</v>
      </c>
      <c r="BR321" s="65">
        <f>IF(W321=0,0,W321)</f>
        <v>0</v>
      </c>
      <c r="BS321" s="65">
        <f>IF(BQ321+BR321&gt;0,BQ321+BR321,0)</f>
        <v>0</v>
      </c>
      <c r="BT321" s="65">
        <f>IF(V321&gt;0,V321,0)</f>
        <v>0</v>
      </c>
      <c r="BU321" s="65">
        <f>IF(BP321=0,0,BP321)</f>
        <v>0</v>
      </c>
      <c r="BV321" s="65">
        <f>IF(BS321=0,0,BS321)</f>
        <v>0</v>
      </c>
      <c r="BW321" s="65">
        <f>IF(BP321+BT321+BV321&gt;0,BP321+BT321+BV321,0)</f>
        <v>0</v>
      </c>
      <c r="BX321" s="6"/>
      <c r="BY321" s="6"/>
      <c r="BZ321" s="6"/>
      <c r="CA321" s="6"/>
      <c r="CB321" s="6"/>
      <c r="CC321" s="6"/>
      <c r="CD321" s="6"/>
      <c r="CE321" s="6"/>
      <c r="CF321" s="6"/>
      <c r="CG321" s="6"/>
    </row>
    <row r="322" spans="1:85" ht="15.75" customHeight="1">
      <c r="A322" s="260"/>
      <c r="B322" s="261"/>
      <c r="C322" s="262"/>
      <c r="D322" s="78" t="s">
        <v>264</v>
      </c>
      <c r="E322" s="45">
        <f t="shared" ref="E322:H322" si="1709">E323</f>
        <v>0</v>
      </c>
      <c r="F322" s="46">
        <f t="shared" si="1709"/>
        <v>0</v>
      </c>
      <c r="G322" s="46">
        <f t="shared" si="1709"/>
        <v>0</v>
      </c>
      <c r="H322" s="46">
        <f t="shared" si="1709"/>
        <v>0</v>
      </c>
      <c r="I322" s="47">
        <f t="shared" si="1582"/>
        <v>0</v>
      </c>
      <c r="J322" s="47">
        <f t="shared" si="1583"/>
        <v>0</v>
      </c>
      <c r="K322" s="46">
        <f t="shared" ref="K322:W322" si="1710">K323</f>
        <v>0</v>
      </c>
      <c r="L322" s="46">
        <f t="shared" si="1710"/>
        <v>0</v>
      </c>
      <c r="M322" s="46">
        <f t="shared" si="1710"/>
        <v>0</v>
      </c>
      <c r="N322" s="46">
        <f t="shared" si="1710"/>
        <v>0</v>
      </c>
      <c r="O322" s="46">
        <f t="shared" si="1710"/>
        <v>0</v>
      </c>
      <c r="P322" s="46">
        <f t="shared" si="1710"/>
        <v>0</v>
      </c>
      <c r="Q322" s="46">
        <f t="shared" si="1710"/>
        <v>0</v>
      </c>
      <c r="R322" s="46">
        <f t="shared" si="1710"/>
        <v>0</v>
      </c>
      <c r="S322" s="46">
        <f t="shared" si="1710"/>
        <v>0</v>
      </c>
      <c r="T322" s="46">
        <f t="shared" si="1710"/>
        <v>0</v>
      </c>
      <c r="U322" s="46">
        <f t="shared" si="1710"/>
        <v>0</v>
      </c>
      <c r="V322" s="46">
        <f t="shared" si="1710"/>
        <v>0</v>
      </c>
      <c r="W322" s="46">
        <f t="shared" si="1710"/>
        <v>0</v>
      </c>
      <c r="X322" s="50">
        <f t="shared" ref="X322:Y322" si="1711">IF(O322&gt;0,O322/K322,0)</f>
        <v>0</v>
      </c>
      <c r="Y322" s="50">
        <f t="shared" si="1711"/>
        <v>0</v>
      </c>
      <c r="Z322" s="50">
        <f t="shared" si="1658"/>
        <v>0</v>
      </c>
      <c r="AA322" s="46">
        <f t="shared" ref="AA322:BW322" si="1712">AA323</f>
        <v>0</v>
      </c>
      <c r="AB322" s="46">
        <f t="shared" si="1712"/>
        <v>0</v>
      </c>
      <c r="AC322" s="46">
        <f t="shared" si="1712"/>
        <v>0</v>
      </c>
      <c r="AD322" s="46">
        <f t="shared" si="1712"/>
        <v>0</v>
      </c>
      <c r="AE322" s="46">
        <f t="shared" si="1712"/>
        <v>0</v>
      </c>
      <c r="AF322" s="46">
        <f t="shared" si="1712"/>
        <v>0</v>
      </c>
      <c r="AG322" s="46">
        <f t="shared" si="1712"/>
        <v>0</v>
      </c>
      <c r="AH322" s="46">
        <f t="shared" si="1712"/>
        <v>0</v>
      </c>
      <c r="AI322" s="46">
        <f t="shared" si="1712"/>
        <v>0</v>
      </c>
      <c r="AJ322" s="46">
        <f t="shared" si="1712"/>
        <v>0</v>
      </c>
      <c r="AK322" s="46">
        <f t="shared" si="1712"/>
        <v>0</v>
      </c>
      <c r="AL322" s="46">
        <f t="shared" si="1712"/>
        <v>0</v>
      </c>
      <c r="AM322" s="46">
        <f t="shared" si="1712"/>
        <v>0</v>
      </c>
      <c r="AN322" s="46">
        <f t="shared" si="1712"/>
        <v>0</v>
      </c>
      <c r="AO322" s="46">
        <f t="shared" si="1712"/>
        <v>0</v>
      </c>
      <c r="AP322" s="46">
        <f t="shared" si="1712"/>
        <v>0</v>
      </c>
      <c r="AQ322" s="46">
        <f t="shared" si="1712"/>
        <v>0</v>
      </c>
      <c r="AR322" s="46">
        <f t="shared" si="1712"/>
        <v>0</v>
      </c>
      <c r="AS322" s="46">
        <f t="shared" si="1712"/>
        <v>0</v>
      </c>
      <c r="AT322" s="46">
        <f t="shared" si="1712"/>
        <v>0</v>
      </c>
      <c r="AU322" s="46">
        <f t="shared" si="1712"/>
        <v>0</v>
      </c>
      <c r="AV322" s="46">
        <f t="shared" si="1712"/>
        <v>0</v>
      </c>
      <c r="AW322" s="46">
        <f t="shared" si="1712"/>
        <v>0</v>
      </c>
      <c r="AX322" s="46">
        <f t="shared" si="1712"/>
        <v>0</v>
      </c>
      <c r="AY322" s="46">
        <f t="shared" si="1712"/>
        <v>0</v>
      </c>
      <c r="AZ322" s="46">
        <f t="shared" si="1712"/>
        <v>0</v>
      </c>
      <c r="BA322" s="46">
        <f t="shared" si="1712"/>
        <v>0</v>
      </c>
      <c r="BB322" s="46">
        <f t="shared" si="1712"/>
        <v>0</v>
      </c>
      <c r="BC322" s="46">
        <f t="shared" si="1712"/>
        <v>0</v>
      </c>
      <c r="BD322" s="46">
        <f t="shared" si="1712"/>
        <v>0</v>
      </c>
      <c r="BE322" s="46">
        <f t="shared" si="1712"/>
        <v>0</v>
      </c>
      <c r="BF322" s="46">
        <f t="shared" si="1712"/>
        <v>0</v>
      </c>
      <c r="BG322" s="46">
        <f t="shared" si="1712"/>
        <v>0</v>
      </c>
      <c r="BH322" s="46">
        <f t="shared" si="1712"/>
        <v>0</v>
      </c>
      <c r="BI322" s="46">
        <f t="shared" si="1712"/>
        <v>0</v>
      </c>
      <c r="BJ322" s="46">
        <f t="shared" si="1712"/>
        <v>0</v>
      </c>
      <c r="BK322" s="46">
        <f t="shared" si="1712"/>
        <v>0</v>
      </c>
      <c r="BL322" s="46">
        <f t="shared" si="1712"/>
        <v>0</v>
      </c>
      <c r="BM322" s="46">
        <f t="shared" si="1712"/>
        <v>0</v>
      </c>
      <c r="BN322" s="46">
        <f t="shared" si="1712"/>
        <v>0</v>
      </c>
      <c r="BO322" s="46">
        <f t="shared" si="1712"/>
        <v>0</v>
      </c>
      <c r="BP322" s="46">
        <f t="shared" si="1712"/>
        <v>0</v>
      </c>
      <c r="BQ322" s="46">
        <f t="shared" si="1712"/>
        <v>0</v>
      </c>
      <c r="BR322" s="46">
        <f t="shared" si="1712"/>
        <v>0</v>
      </c>
      <c r="BS322" s="46">
        <f t="shared" si="1712"/>
        <v>0</v>
      </c>
      <c r="BT322" s="46">
        <f t="shared" si="1712"/>
        <v>0</v>
      </c>
      <c r="BU322" s="46">
        <f t="shared" si="1712"/>
        <v>0</v>
      </c>
      <c r="BV322" s="46">
        <f t="shared" si="1712"/>
        <v>0</v>
      </c>
      <c r="BW322" s="46">
        <f t="shared" si="1712"/>
        <v>0</v>
      </c>
      <c r="BX322" s="6"/>
      <c r="BY322" s="6"/>
      <c r="BZ322" s="6"/>
      <c r="CA322" s="6"/>
      <c r="CB322" s="6"/>
      <c r="CC322" s="6"/>
      <c r="CD322" s="6"/>
      <c r="CE322" s="6"/>
      <c r="CF322" s="6"/>
      <c r="CG322" s="6"/>
    </row>
    <row r="323" spans="1:85" ht="15.75" customHeight="1">
      <c r="A323" s="275"/>
      <c r="B323" s="314"/>
      <c r="C323" s="68" t="s">
        <v>474</v>
      </c>
      <c r="D323" s="70" t="s">
        <v>475</v>
      </c>
      <c r="E323" s="99">
        <v>0</v>
      </c>
      <c r="F323" s="99">
        <v>0</v>
      </c>
      <c r="G323" s="58">
        <f>E323-F323</f>
        <v>0</v>
      </c>
      <c r="H323" s="99">
        <v>0</v>
      </c>
      <c r="I323" s="59">
        <f t="shared" si="1582"/>
        <v>0</v>
      </c>
      <c r="J323" s="59">
        <f t="shared" si="1583"/>
        <v>0</v>
      </c>
      <c r="K323" s="74">
        <v>0</v>
      </c>
      <c r="L323" s="74">
        <v>0</v>
      </c>
      <c r="M323" s="74">
        <v>0</v>
      </c>
      <c r="N323" s="74">
        <v>0</v>
      </c>
      <c r="O323" s="61">
        <f t="shared" ref="O323:Q323" si="1713">AA323+AD323+AG323+AJ323+AM323+AP323+AS323+AV323+AY323+BB323+BE323+BH323</f>
        <v>0</v>
      </c>
      <c r="P323" s="61">
        <f t="shared" si="1713"/>
        <v>0</v>
      </c>
      <c r="Q323" s="61">
        <f t="shared" si="1713"/>
        <v>0</v>
      </c>
      <c r="R323" s="61">
        <f t="shared" ref="R323:T323" si="1714">IF(BK323=0,SUM(AA323+AD323+AG323+AJ323+AM323+AP323+AS323+AV323+AY323+BB323+BE323+BH323),BK323)</f>
        <v>0</v>
      </c>
      <c r="S323" s="61">
        <f t="shared" si="1714"/>
        <v>0</v>
      </c>
      <c r="T323" s="61">
        <f t="shared" si="1714"/>
        <v>0</v>
      </c>
      <c r="U323" s="63">
        <f>K323-O323</f>
        <v>0</v>
      </c>
      <c r="V323" s="63">
        <f>L323-M323-S323</f>
        <v>0</v>
      </c>
      <c r="W323" s="63">
        <f>N323-Q323</f>
        <v>0</v>
      </c>
      <c r="X323" s="64">
        <f t="shared" ref="X323:Y323" si="1715">IF(O323&gt;0,O323/K323,0)</f>
        <v>0</v>
      </c>
      <c r="Y323" s="64">
        <f t="shared" si="1715"/>
        <v>0</v>
      </c>
      <c r="Z323" s="64">
        <f t="shared" si="1658"/>
        <v>0</v>
      </c>
      <c r="AA323" s="100">
        <v>0</v>
      </c>
      <c r="AB323" s="65"/>
      <c r="AC323" s="65"/>
      <c r="AD323" s="65"/>
      <c r="AE323" s="66"/>
      <c r="AF323" s="66"/>
      <c r="AG323" s="66"/>
      <c r="AH323" s="66"/>
      <c r="AI323" s="65"/>
      <c r="AJ323" s="65"/>
      <c r="AK323" s="65"/>
      <c r="AL323" s="65"/>
      <c r="AM323" s="65"/>
      <c r="AN323" s="65"/>
      <c r="AO323" s="65"/>
      <c r="AP323" s="65"/>
      <c r="AQ323" s="65"/>
      <c r="AR323" s="65"/>
      <c r="AS323" s="65"/>
      <c r="AT323" s="65"/>
      <c r="AU323" s="65"/>
      <c r="AV323" s="65"/>
      <c r="AW323" s="65"/>
      <c r="AX323" s="65"/>
      <c r="AY323" s="65"/>
      <c r="AZ323" s="65"/>
      <c r="BA323" s="65"/>
      <c r="BB323" s="65"/>
      <c r="BC323" s="65"/>
      <c r="BD323" s="65"/>
      <c r="BE323" s="65"/>
      <c r="BF323" s="65"/>
      <c r="BG323" s="65"/>
      <c r="BH323" s="65"/>
      <c r="BI323" s="65"/>
      <c r="BJ323" s="65"/>
      <c r="BK323" s="65">
        <v>0</v>
      </c>
      <c r="BL323" s="65">
        <v>0</v>
      </c>
      <c r="BM323" s="65">
        <v>0</v>
      </c>
      <c r="BN323" s="65">
        <f>IF(O323-BK323&gt;0,O323-BK323,0)</f>
        <v>0</v>
      </c>
      <c r="BO323" s="67">
        <f>IF(Q323-BM323&gt;0,Q323-BM323,0)</f>
        <v>0</v>
      </c>
      <c r="BP323" s="65">
        <f>IF(BN323+BO323&gt;0,BN323+BO323,0)</f>
        <v>0</v>
      </c>
      <c r="BQ323" s="65">
        <f>IF(U323=0,0,U323)</f>
        <v>0</v>
      </c>
      <c r="BR323" s="65">
        <f>IF(W323=0,0,W323)</f>
        <v>0</v>
      </c>
      <c r="BS323" s="65">
        <f>IF(BQ323+BR323&gt;0,BQ323+BR323,0)</f>
        <v>0</v>
      </c>
      <c r="BT323" s="65">
        <f>IF(V323&gt;0,V323,0)</f>
        <v>0</v>
      </c>
      <c r="BU323" s="65">
        <f>IF(BP323=0,0,BP323)</f>
        <v>0</v>
      </c>
      <c r="BV323" s="65">
        <f>IF(BS323=0,0,BS323)</f>
        <v>0</v>
      </c>
      <c r="BW323" s="65">
        <f>IF(BP323+BT323+BV323&gt;0,BP323+BT323+BV323,0)</f>
        <v>0</v>
      </c>
      <c r="BX323" s="6"/>
      <c r="BY323" s="6"/>
      <c r="BZ323" s="6"/>
      <c r="CA323" s="6"/>
      <c r="CB323" s="6"/>
      <c r="CC323" s="6"/>
      <c r="CD323" s="6"/>
      <c r="CE323" s="6"/>
      <c r="CF323" s="6"/>
      <c r="CG323" s="6"/>
    </row>
    <row r="324" spans="1:85" ht="15.75" customHeight="1">
      <c r="A324" s="315"/>
      <c r="B324" s="35"/>
      <c r="C324" s="36"/>
      <c r="D324" s="37" t="s">
        <v>476</v>
      </c>
      <c r="E324" s="38">
        <f t="shared" ref="E324:H324" si="1716">SUM(E325:E327)</f>
        <v>0</v>
      </c>
      <c r="F324" s="252">
        <f t="shared" si="1716"/>
        <v>0</v>
      </c>
      <c r="G324" s="252">
        <f t="shared" si="1716"/>
        <v>0</v>
      </c>
      <c r="H324" s="252">
        <f t="shared" si="1716"/>
        <v>0</v>
      </c>
      <c r="I324" s="39">
        <f t="shared" si="1582"/>
        <v>0</v>
      </c>
      <c r="J324" s="39">
        <f t="shared" si="1583"/>
        <v>0</v>
      </c>
      <c r="K324" s="252">
        <f t="shared" ref="K324:Q324" si="1717">SUM(K325:K327)</f>
        <v>0</v>
      </c>
      <c r="L324" s="320">
        <f t="shared" si="1717"/>
        <v>0</v>
      </c>
      <c r="M324" s="320">
        <f t="shared" si="1717"/>
        <v>0</v>
      </c>
      <c r="N324" s="252">
        <f t="shared" si="1717"/>
        <v>0</v>
      </c>
      <c r="O324" s="320">
        <f t="shared" si="1717"/>
        <v>0</v>
      </c>
      <c r="P324" s="320">
        <f t="shared" si="1717"/>
        <v>0</v>
      </c>
      <c r="Q324" s="320">
        <f t="shared" si="1717"/>
        <v>0</v>
      </c>
      <c r="R324" s="321">
        <f t="shared" ref="R324:T324" si="1718">IF(BK324=0,SUM(AA324+AD324+AG324+AJ324+AM324+AP324+AS324+AV324+AY324+BB324+BE324+BH324),BK324)</f>
        <v>0</v>
      </c>
      <c r="S324" s="321">
        <f t="shared" si="1718"/>
        <v>0</v>
      </c>
      <c r="T324" s="321">
        <f t="shared" si="1718"/>
        <v>0</v>
      </c>
      <c r="U324" s="252">
        <f t="shared" ref="U324:W324" si="1719">SUM(U325:U327)</f>
        <v>0</v>
      </c>
      <c r="V324" s="252">
        <f t="shared" si="1719"/>
        <v>0</v>
      </c>
      <c r="W324" s="252">
        <f t="shared" si="1719"/>
        <v>0</v>
      </c>
      <c r="X324" s="40">
        <f t="shared" ref="X324:Y324" si="1720">IF(O324&gt;0,O324/K324,0)</f>
        <v>0</v>
      </c>
      <c r="Y324" s="40">
        <f t="shared" si="1720"/>
        <v>0</v>
      </c>
      <c r="Z324" s="40">
        <f t="shared" si="1658"/>
        <v>0</v>
      </c>
      <c r="AA324" s="320">
        <f t="shared" ref="AA324:BW324" si="1721">SUM(AA325:AA327)</f>
        <v>0</v>
      </c>
      <c r="AB324" s="320">
        <f t="shared" si="1721"/>
        <v>0</v>
      </c>
      <c r="AC324" s="320">
        <f t="shared" si="1721"/>
        <v>0</v>
      </c>
      <c r="AD324" s="320">
        <f t="shared" si="1721"/>
        <v>0</v>
      </c>
      <c r="AE324" s="320">
        <f t="shared" si="1721"/>
        <v>0</v>
      </c>
      <c r="AF324" s="320">
        <f t="shared" si="1721"/>
        <v>0</v>
      </c>
      <c r="AG324" s="320">
        <f t="shared" si="1721"/>
        <v>0</v>
      </c>
      <c r="AH324" s="320">
        <f t="shared" si="1721"/>
        <v>0</v>
      </c>
      <c r="AI324" s="320">
        <f t="shared" si="1721"/>
        <v>0</v>
      </c>
      <c r="AJ324" s="320">
        <f t="shared" si="1721"/>
        <v>0</v>
      </c>
      <c r="AK324" s="320">
        <f t="shared" si="1721"/>
        <v>0</v>
      </c>
      <c r="AL324" s="320">
        <f t="shared" si="1721"/>
        <v>0</v>
      </c>
      <c r="AM324" s="320">
        <f t="shared" si="1721"/>
        <v>0</v>
      </c>
      <c r="AN324" s="320">
        <f t="shared" si="1721"/>
        <v>0</v>
      </c>
      <c r="AO324" s="320">
        <f t="shared" si="1721"/>
        <v>0</v>
      </c>
      <c r="AP324" s="320">
        <f t="shared" si="1721"/>
        <v>0</v>
      </c>
      <c r="AQ324" s="320">
        <f t="shared" si="1721"/>
        <v>0</v>
      </c>
      <c r="AR324" s="320">
        <f t="shared" si="1721"/>
        <v>0</v>
      </c>
      <c r="AS324" s="320">
        <f t="shared" si="1721"/>
        <v>0</v>
      </c>
      <c r="AT324" s="320">
        <f t="shared" si="1721"/>
        <v>0</v>
      </c>
      <c r="AU324" s="320">
        <f t="shared" si="1721"/>
        <v>0</v>
      </c>
      <c r="AV324" s="320">
        <f t="shared" si="1721"/>
        <v>0</v>
      </c>
      <c r="AW324" s="320">
        <f t="shared" si="1721"/>
        <v>0</v>
      </c>
      <c r="AX324" s="320">
        <f t="shared" si="1721"/>
        <v>0</v>
      </c>
      <c r="AY324" s="320">
        <f t="shared" si="1721"/>
        <v>0</v>
      </c>
      <c r="AZ324" s="320">
        <f t="shared" si="1721"/>
        <v>0</v>
      </c>
      <c r="BA324" s="320">
        <f t="shared" si="1721"/>
        <v>0</v>
      </c>
      <c r="BB324" s="320">
        <f t="shared" si="1721"/>
        <v>0</v>
      </c>
      <c r="BC324" s="320">
        <f t="shared" si="1721"/>
        <v>0</v>
      </c>
      <c r="BD324" s="320">
        <f t="shared" si="1721"/>
        <v>0</v>
      </c>
      <c r="BE324" s="320">
        <f t="shared" si="1721"/>
        <v>0</v>
      </c>
      <c r="BF324" s="320">
        <f t="shared" si="1721"/>
        <v>0</v>
      </c>
      <c r="BG324" s="320">
        <f t="shared" si="1721"/>
        <v>0</v>
      </c>
      <c r="BH324" s="320">
        <f t="shared" si="1721"/>
        <v>0</v>
      </c>
      <c r="BI324" s="320">
        <f t="shared" si="1721"/>
        <v>0</v>
      </c>
      <c r="BJ324" s="320">
        <f t="shared" si="1721"/>
        <v>0</v>
      </c>
      <c r="BK324" s="320">
        <f t="shared" si="1721"/>
        <v>0</v>
      </c>
      <c r="BL324" s="320">
        <f t="shared" si="1721"/>
        <v>0</v>
      </c>
      <c r="BM324" s="320">
        <f t="shared" si="1721"/>
        <v>0</v>
      </c>
      <c r="BN324" s="320">
        <f t="shared" si="1721"/>
        <v>0</v>
      </c>
      <c r="BO324" s="320">
        <f t="shared" si="1721"/>
        <v>0</v>
      </c>
      <c r="BP324" s="320">
        <f t="shared" si="1721"/>
        <v>0</v>
      </c>
      <c r="BQ324" s="320">
        <f t="shared" si="1721"/>
        <v>0</v>
      </c>
      <c r="BR324" s="320">
        <f t="shared" si="1721"/>
        <v>0</v>
      </c>
      <c r="BS324" s="320">
        <f t="shared" si="1721"/>
        <v>0</v>
      </c>
      <c r="BT324" s="320">
        <f t="shared" si="1721"/>
        <v>0</v>
      </c>
      <c r="BU324" s="320">
        <f t="shared" si="1721"/>
        <v>0</v>
      </c>
      <c r="BV324" s="320">
        <f t="shared" si="1721"/>
        <v>0</v>
      </c>
      <c r="BW324" s="320">
        <f t="shared" si="1721"/>
        <v>0</v>
      </c>
      <c r="BX324" s="6"/>
      <c r="BY324" s="6"/>
      <c r="BZ324" s="6"/>
      <c r="CA324" s="6"/>
      <c r="CB324" s="6"/>
      <c r="CC324" s="6"/>
      <c r="CD324" s="6"/>
      <c r="CE324" s="6"/>
      <c r="CF324" s="6"/>
      <c r="CG324" s="6"/>
    </row>
    <row r="325" spans="1:85" ht="15.75" customHeight="1">
      <c r="A325" s="54"/>
      <c r="B325" s="102"/>
      <c r="C325" s="54"/>
      <c r="D325" s="55"/>
      <c r="E325" s="99">
        <v>0</v>
      </c>
      <c r="F325" s="99">
        <v>0</v>
      </c>
      <c r="G325" s="58">
        <f t="shared" ref="G325:G327" si="1722">E325-F325</f>
        <v>0</v>
      </c>
      <c r="H325" s="99">
        <v>0</v>
      </c>
      <c r="I325" s="59">
        <f t="shared" si="1582"/>
        <v>0</v>
      </c>
      <c r="J325" s="59">
        <f t="shared" si="1583"/>
        <v>0</v>
      </c>
      <c r="K325" s="74">
        <v>0</v>
      </c>
      <c r="L325" s="74">
        <v>0</v>
      </c>
      <c r="M325" s="74">
        <v>0</v>
      </c>
      <c r="N325" s="74">
        <v>0</v>
      </c>
      <c r="O325" s="61">
        <f t="shared" ref="O325:Q325" si="1723">AA325+AD325+AG325+AJ325+AM325+AP325+AS325+AV325+AY325+BB325+BE325+BH325</f>
        <v>0</v>
      </c>
      <c r="P325" s="61">
        <f t="shared" si="1723"/>
        <v>0</v>
      </c>
      <c r="Q325" s="61">
        <f t="shared" si="1723"/>
        <v>0</v>
      </c>
      <c r="R325" s="61">
        <f t="shared" ref="R325:T325" si="1724">IF(BK325=0,SUM(AA325+AD325+AG325+AJ325+AM325+AP325+AS325+AV325+AY325+BB325+BE325+BH325),BK325)</f>
        <v>0</v>
      </c>
      <c r="S325" s="61">
        <f t="shared" si="1724"/>
        <v>0</v>
      </c>
      <c r="T325" s="61">
        <f t="shared" si="1724"/>
        <v>0</v>
      </c>
      <c r="U325" s="63">
        <f t="shared" ref="U325:U327" si="1725">K325-O325</f>
        <v>0</v>
      </c>
      <c r="V325" s="63">
        <f t="shared" ref="V325:V327" si="1726">L325-M325-S325</f>
        <v>0</v>
      </c>
      <c r="W325" s="63">
        <f t="shared" ref="W325:W327" si="1727">N325-Q325</f>
        <v>0</v>
      </c>
      <c r="X325" s="64">
        <f t="shared" ref="X325:Y325" si="1728">IF(O325&gt;0,O325/K325,0)</f>
        <v>0</v>
      </c>
      <c r="Y325" s="64">
        <f t="shared" si="1728"/>
        <v>0</v>
      </c>
      <c r="Z325" s="64">
        <f t="shared" si="1658"/>
        <v>0</v>
      </c>
      <c r="AA325" s="65"/>
      <c r="AB325" s="65"/>
      <c r="AC325" s="65"/>
      <c r="AD325" s="65"/>
      <c r="AE325" s="66"/>
      <c r="AF325" s="66"/>
      <c r="AG325" s="66"/>
      <c r="AH325" s="66"/>
      <c r="AI325" s="65"/>
      <c r="AJ325" s="65"/>
      <c r="AK325" s="65"/>
      <c r="AL325" s="65"/>
      <c r="AM325" s="65"/>
      <c r="AN325" s="65"/>
      <c r="AO325" s="65"/>
      <c r="AP325" s="65"/>
      <c r="AQ325" s="65"/>
      <c r="AR325" s="65"/>
      <c r="AS325" s="65"/>
      <c r="AT325" s="65"/>
      <c r="AU325" s="65"/>
      <c r="AV325" s="65"/>
      <c r="AW325" s="65"/>
      <c r="AX325" s="65"/>
      <c r="AY325" s="65"/>
      <c r="AZ325" s="65"/>
      <c r="BA325" s="65"/>
      <c r="BB325" s="65"/>
      <c r="BC325" s="65"/>
      <c r="BD325" s="65"/>
      <c r="BE325" s="65"/>
      <c r="BF325" s="65"/>
      <c r="BG325" s="65"/>
      <c r="BH325" s="65"/>
      <c r="BI325" s="65"/>
      <c r="BJ325" s="65"/>
      <c r="BK325" s="65">
        <v>0</v>
      </c>
      <c r="BL325" s="65">
        <v>0</v>
      </c>
      <c r="BM325" s="65">
        <v>0</v>
      </c>
      <c r="BN325" s="65">
        <f t="shared" ref="BN325:BN327" si="1729">IF(O325-BK325&gt;0,O325-BK325,0)</f>
        <v>0</v>
      </c>
      <c r="BO325" s="67">
        <f t="shared" ref="BO325:BO327" si="1730">IF(Q325-BM325&gt;0,Q325-BM325,0)</f>
        <v>0</v>
      </c>
      <c r="BP325" s="65">
        <f t="shared" ref="BP325:BP327" si="1731">IF(BN325+BO325&gt;0,BN325+BO325,0)</f>
        <v>0</v>
      </c>
      <c r="BQ325" s="65">
        <f t="shared" ref="BQ325:BQ327" si="1732">IF(U325=0,0,U325)</f>
        <v>0</v>
      </c>
      <c r="BR325" s="65">
        <f t="shared" ref="BR325:BR327" si="1733">IF(W325=0,0,W325)</f>
        <v>0</v>
      </c>
      <c r="BS325" s="65">
        <f t="shared" ref="BS325:BS327" si="1734">IF(BQ325+BR325&gt;0,BQ325+BR325,0)</f>
        <v>0</v>
      </c>
      <c r="BT325" s="65">
        <f t="shared" ref="BT325:BT327" si="1735">IF(V325&gt;0,V325,0)</f>
        <v>0</v>
      </c>
      <c r="BU325" s="65">
        <f t="shared" ref="BU325:BU327" si="1736">IF(BP325=0,0,BP325)</f>
        <v>0</v>
      </c>
      <c r="BV325" s="65">
        <f t="shared" ref="BV325:BV327" si="1737">IF(BS325=0,0,BS325)</f>
        <v>0</v>
      </c>
      <c r="BW325" s="65">
        <f t="shared" ref="BW325:BW327" si="1738">IF(BP325+BT325+BV325&gt;0,BP325+BT325+BV325,0)</f>
        <v>0</v>
      </c>
      <c r="BX325" s="6"/>
      <c r="BY325" s="6"/>
      <c r="BZ325" s="6"/>
      <c r="CA325" s="6"/>
      <c r="CB325" s="6"/>
      <c r="CC325" s="6"/>
      <c r="CD325" s="6"/>
      <c r="CE325" s="6"/>
      <c r="CF325" s="6"/>
      <c r="CG325" s="6"/>
    </row>
    <row r="326" spans="1:85" ht="15.75" customHeight="1">
      <c r="A326" s="68"/>
      <c r="B326" s="103"/>
      <c r="C326" s="68"/>
      <c r="D326" s="70"/>
      <c r="E326" s="99">
        <v>0</v>
      </c>
      <c r="F326" s="99">
        <v>0</v>
      </c>
      <c r="G326" s="58">
        <f t="shared" si="1722"/>
        <v>0</v>
      </c>
      <c r="H326" s="99">
        <v>0</v>
      </c>
      <c r="I326" s="59">
        <f t="shared" si="1582"/>
        <v>0</v>
      </c>
      <c r="J326" s="59">
        <f t="shared" si="1583"/>
        <v>0</v>
      </c>
      <c r="K326" s="74">
        <v>0</v>
      </c>
      <c r="L326" s="74">
        <v>0</v>
      </c>
      <c r="M326" s="74">
        <v>0</v>
      </c>
      <c r="N326" s="74">
        <v>0</v>
      </c>
      <c r="O326" s="61">
        <f t="shared" ref="O326:Q326" si="1739">AA326+AD326+AG326+AJ326+AM326+AP326+AS326+AV326+AY326+BB326+BE326+BH326</f>
        <v>0</v>
      </c>
      <c r="P326" s="61">
        <f t="shared" si="1739"/>
        <v>0</v>
      </c>
      <c r="Q326" s="61">
        <f t="shared" si="1739"/>
        <v>0</v>
      </c>
      <c r="R326" s="61">
        <f t="shared" ref="R326:T326" si="1740">IF(BK326=0,SUM(AA326+AD326+AG326+AJ326+AM326+AP326+AS326+AV326+AY326+BB326+BE326+BH326),BK326)</f>
        <v>0</v>
      </c>
      <c r="S326" s="61">
        <f t="shared" si="1740"/>
        <v>0</v>
      </c>
      <c r="T326" s="61">
        <f t="shared" si="1740"/>
        <v>0</v>
      </c>
      <c r="U326" s="63">
        <f t="shared" si="1725"/>
        <v>0</v>
      </c>
      <c r="V326" s="63">
        <f t="shared" si="1726"/>
        <v>0</v>
      </c>
      <c r="W326" s="63">
        <f t="shared" si="1727"/>
        <v>0</v>
      </c>
      <c r="X326" s="64">
        <f t="shared" ref="X326:Y326" si="1741">IF(O326&gt;0,O326/K326,0)</f>
        <v>0</v>
      </c>
      <c r="Y326" s="64">
        <f t="shared" si="1741"/>
        <v>0</v>
      </c>
      <c r="Z326" s="64">
        <f t="shared" si="1658"/>
        <v>0</v>
      </c>
      <c r="AA326" s="65"/>
      <c r="AB326" s="65"/>
      <c r="AC326" s="65"/>
      <c r="AD326" s="65"/>
      <c r="AE326" s="66"/>
      <c r="AF326" s="66"/>
      <c r="AG326" s="66"/>
      <c r="AH326" s="66"/>
      <c r="AI326" s="65"/>
      <c r="AJ326" s="65"/>
      <c r="AK326" s="65"/>
      <c r="AL326" s="65"/>
      <c r="AM326" s="65"/>
      <c r="AN326" s="65"/>
      <c r="AO326" s="65"/>
      <c r="AP326" s="65"/>
      <c r="AQ326" s="65"/>
      <c r="AR326" s="65"/>
      <c r="AS326" s="65"/>
      <c r="AT326" s="65"/>
      <c r="AU326" s="65"/>
      <c r="AV326" s="65"/>
      <c r="AW326" s="65"/>
      <c r="AX326" s="65"/>
      <c r="AY326" s="65"/>
      <c r="AZ326" s="65"/>
      <c r="BA326" s="65"/>
      <c r="BB326" s="65"/>
      <c r="BC326" s="65"/>
      <c r="BD326" s="65"/>
      <c r="BE326" s="65"/>
      <c r="BF326" s="65"/>
      <c r="BG326" s="65"/>
      <c r="BH326" s="65"/>
      <c r="BI326" s="65"/>
      <c r="BJ326" s="65"/>
      <c r="BK326" s="65">
        <v>0</v>
      </c>
      <c r="BL326" s="65">
        <v>0</v>
      </c>
      <c r="BM326" s="65">
        <v>0</v>
      </c>
      <c r="BN326" s="65">
        <f t="shared" si="1729"/>
        <v>0</v>
      </c>
      <c r="BO326" s="67">
        <f t="shared" si="1730"/>
        <v>0</v>
      </c>
      <c r="BP326" s="65">
        <f t="shared" si="1731"/>
        <v>0</v>
      </c>
      <c r="BQ326" s="65">
        <f t="shared" si="1732"/>
        <v>0</v>
      </c>
      <c r="BR326" s="65">
        <f t="shared" si="1733"/>
        <v>0</v>
      </c>
      <c r="BS326" s="65">
        <f t="shared" si="1734"/>
        <v>0</v>
      </c>
      <c r="BT326" s="65">
        <f t="shared" si="1735"/>
        <v>0</v>
      </c>
      <c r="BU326" s="65">
        <f t="shared" si="1736"/>
        <v>0</v>
      </c>
      <c r="BV326" s="65">
        <f t="shared" si="1737"/>
        <v>0</v>
      </c>
      <c r="BW326" s="65">
        <f t="shared" si="1738"/>
        <v>0</v>
      </c>
      <c r="BX326" s="6"/>
      <c r="BY326" s="6"/>
      <c r="BZ326" s="6"/>
      <c r="CA326" s="6"/>
      <c r="CB326" s="6"/>
      <c r="CC326" s="6"/>
      <c r="CD326" s="6"/>
      <c r="CE326" s="6"/>
      <c r="CF326" s="6"/>
      <c r="CG326" s="6"/>
    </row>
    <row r="327" spans="1:85" ht="15.75" customHeight="1">
      <c r="A327" s="71"/>
      <c r="B327" s="72"/>
      <c r="C327" s="71"/>
      <c r="D327" s="73"/>
      <c r="E327" s="99">
        <v>0</v>
      </c>
      <c r="F327" s="99">
        <v>0</v>
      </c>
      <c r="G327" s="58">
        <f t="shared" si="1722"/>
        <v>0</v>
      </c>
      <c r="H327" s="99">
        <v>0</v>
      </c>
      <c r="I327" s="59">
        <f t="shared" si="1582"/>
        <v>0</v>
      </c>
      <c r="J327" s="59">
        <f t="shared" si="1583"/>
        <v>0</v>
      </c>
      <c r="K327" s="74">
        <v>0</v>
      </c>
      <c r="L327" s="74">
        <v>0</v>
      </c>
      <c r="M327" s="74">
        <v>0</v>
      </c>
      <c r="N327" s="74">
        <v>0</v>
      </c>
      <c r="O327" s="61">
        <f t="shared" ref="O327:Q327" si="1742">AA327+AD327+AG327+AJ327+AM327+AP327+AS327+AV327+AY327+BB327+BE327+BH327</f>
        <v>0</v>
      </c>
      <c r="P327" s="61">
        <f t="shared" si="1742"/>
        <v>0</v>
      </c>
      <c r="Q327" s="61">
        <f t="shared" si="1742"/>
        <v>0</v>
      </c>
      <c r="R327" s="61">
        <f t="shared" ref="R327:T327" si="1743">IF(BK327=0,SUM(AA327+AD327+AG327+AJ327+AM327+AP327+AS327+AV327+AY327+BB327+BE327+BH327),BK327)</f>
        <v>0</v>
      </c>
      <c r="S327" s="61">
        <f t="shared" si="1743"/>
        <v>0</v>
      </c>
      <c r="T327" s="61">
        <f t="shared" si="1743"/>
        <v>0</v>
      </c>
      <c r="U327" s="63">
        <f t="shared" si="1725"/>
        <v>0</v>
      </c>
      <c r="V327" s="63">
        <f t="shared" si="1726"/>
        <v>0</v>
      </c>
      <c r="W327" s="63">
        <f t="shared" si="1727"/>
        <v>0</v>
      </c>
      <c r="X327" s="64">
        <f t="shared" ref="X327:Y327" si="1744">IF(O327&gt;0,O327/K327,0)</f>
        <v>0</v>
      </c>
      <c r="Y327" s="64">
        <f t="shared" si="1744"/>
        <v>0</v>
      </c>
      <c r="Z327" s="64">
        <f t="shared" si="1658"/>
        <v>0</v>
      </c>
      <c r="AA327" s="65"/>
      <c r="AB327" s="65"/>
      <c r="AC327" s="65"/>
      <c r="AD327" s="65"/>
      <c r="AE327" s="66"/>
      <c r="AF327" s="66"/>
      <c r="AG327" s="66"/>
      <c r="AH327" s="66"/>
      <c r="AI327" s="65"/>
      <c r="AJ327" s="65"/>
      <c r="AK327" s="65"/>
      <c r="AL327" s="65"/>
      <c r="AM327" s="65"/>
      <c r="AN327" s="65"/>
      <c r="AO327" s="65"/>
      <c r="AP327" s="65"/>
      <c r="AQ327" s="65"/>
      <c r="AR327" s="65"/>
      <c r="AS327" s="65"/>
      <c r="AT327" s="65"/>
      <c r="AU327" s="65"/>
      <c r="AV327" s="65"/>
      <c r="AW327" s="65"/>
      <c r="AX327" s="65"/>
      <c r="AY327" s="65"/>
      <c r="AZ327" s="65"/>
      <c r="BA327" s="65"/>
      <c r="BB327" s="65"/>
      <c r="BC327" s="65"/>
      <c r="BD327" s="65"/>
      <c r="BE327" s="65"/>
      <c r="BF327" s="65"/>
      <c r="BG327" s="65"/>
      <c r="BH327" s="65"/>
      <c r="BI327" s="65"/>
      <c r="BJ327" s="65"/>
      <c r="BK327" s="65">
        <v>0</v>
      </c>
      <c r="BL327" s="65">
        <v>0</v>
      </c>
      <c r="BM327" s="65">
        <v>0</v>
      </c>
      <c r="BN327" s="65">
        <f t="shared" si="1729"/>
        <v>0</v>
      </c>
      <c r="BO327" s="67">
        <f t="shared" si="1730"/>
        <v>0</v>
      </c>
      <c r="BP327" s="65">
        <f t="shared" si="1731"/>
        <v>0</v>
      </c>
      <c r="BQ327" s="65">
        <f t="shared" si="1732"/>
        <v>0</v>
      </c>
      <c r="BR327" s="65">
        <f t="shared" si="1733"/>
        <v>0</v>
      </c>
      <c r="BS327" s="65">
        <f t="shared" si="1734"/>
        <v>0</v>
      </c>
      <c r="BT327" s="65">
        <f t="shared" si="1735"/>
        <v>0</v>
      </c>
      <c r="BU327" s="65">
        <f t="shared" si="1736"/>
        <v>0</v>
      </c>
      <c r="BV327" s="65">
        <f t="shared" si="1737"/>
        <v>0</v>
      </c>
      <c r="BW327" s="65">
        <f t="shared" si="1738"/>
        <v>0</v>
      </c>
      <c r="BX327" s="6"/>
      <c r="BY327" s="6"/>
      <c r="BZ327" s="6"/>
      <c r="CA327" s="6"/>
      <c r="CB327" s="6"/>
      <c r="CC327" s="6"/>
      <c r="CD327" s="6"/>
      <c r="CE327" s="6"/>
      <c r="CF327" s="6"/>
      <c r="CG327" s="6"/>
    </row>
    <row r="328" spans="1:85" ht="15.75" customHeight="1">
      <c r="A328" s="322"/>
      <c r="B328" s="249"/>
      <c r="C328" s="250"/>
      <c r="D328" s="251" t="s">
        <v>477</v>
      </c>
      <c r="E328" s="38">
        <f t="shared" ref="E328:H328" si="1745">E329+E339+E349</f>
        <v>58211.839999999997</v>
      </c>
      <c r="F328" s="252">
        <f t="shared" si="1745"/>
        <v>0</v>
      </c>
      <c r="G328" s="252">
        <f t="shared" si="1745"/>
        <v>58211.839999999997</v>
      </c>
      <c r="H328" s="252">
        <f t="shared" si="1745"/>
        <v>0</v>
      </c>
      <c r="I328" s="39">
        <f t="shared" si="1582"/>
        <v>3.4357271647829722E-2</v>
      </c>
      <c r="J328" s="39">
        <f t="shared" si="1583"/>
        <v>2.5845257597079908E-3</v>
      </c>
      <c r="K328" s="252">
        <f t="shared" ref="K328:W328" si="1746">K329+K339+K349</f>
        <v>2000</v>
      </c>
      <c r="L328" s="320">
        <f t="shared" si="1746"/>
        <v>0</v>
      </c>
      <c r="M328" s="323">
        <f t="shared" si="1746"/>
        <v>0</v>
      </c>
      <c r="N328" s="252">
        <f t="shared" si="1746"/>
        <v>0</v>
      </c>
      <c r="O328" s="320">
        <f t="shared" si="1746"/>
        <v>150.44999999999999</v>
      </c>
      <c r="P328" s="320">
        <f t="shared" si="1746"/>
        <v>0</v>
      </c>
      <c r="Q328" s="320">
        <f t="shared" si="1746"/>
        <v>0</v>
      </c>
      <c r="R328" s="320">
        <f t="shared" si="1746"/>
        <v>150.44999999999999</v>
      </c>
      <c r="S328" s="320">
        <f t="shared" si="1746"/>
        <v>0</v>
      </c>
      <c r="T328" s="320">
        <f t="shared" si="1746"/>
        <v>0</v>
      </c>
      <c r="U328" s="252">
        <f t="shared" si="1746"/>
        <v>1849.55</v>
      </c>
      <c r="V328" s="252">
        <f t="shared" si="1746"/>
        <v>0</v>
      </c>
      <c r="W328" s="252">
        <f t="shared" si="1746"/>
        <v>0</v>
      </c>
      <c r="X328" s="324">
        <f t="shared" ref="X328:Y328" si="1747">IF(O328&gt;0,O328/K328,0)</f>
        <v>7.5225E-2</v>
      </c>
      <c r="Y328" s="324">
        <f t="shared" si="1747"/>
        <v>0</v>
      </c>
      <c r="Z328" s="324">
        <f t="shared" si="1658"/>
        <v>0</v>
      </c>
      <c r="AA328" s="320">
        <f t="shared" ref="AA328:BW328" si="1748">AA329+AA339+AA349</f>
        <v>0</v>
      </c>
      <c r="AB328" s="320">
        <f t="shared" si="1748"/>
        <v>0</v>
      </c>
      <c r="AC328" s="320">
        <f t="shared" si="1748"/>
        <v>0</v>
      </c>
      <c r="AD328" s="320">
        <f t="shared" si="1748"/>
        <v>0</v>
      </c>
      <c r="AE328" s="320">
        <f t="shared" si="1748"/>
        <v>0</v>
      </c>
      <c r="AF328" s="320">
        <f t="shared" si="1748"/>
        <v>0</v>
      </c>
      <c r="AG328" s="320">
        <f t="shared" si="1748"/>
        <v>150.44999999999999</v>
      </c>
      <c r="AH328" s="320">
        <f t="shared" si="1748"/>
        <v>0</v>
      </c>
      <c r="AI328" s="320">
        <f t="shared" si="1748"/>
        <v>0</v>
      </c>
      <c r="AJ328" s="320">
        <f t="shared" si="1748"/>
        <v>0</v>
      </c>
      <c r="AK328" s="320">
        <f t="shared" si="1748"/>
        <v>0</v>
      </c>
      <c r="AL328" s="320">
        <f t="shared" si="1748"/>
        <v>0</v>
      </c>
      <c r="AM328" s="320">
        <f t="shared" si="1748"/>
        <v>0</v>
      </c>
      <c r="AN328" s="320">
        <f t="shared" si="1748"/>
        <v>0</v>
      </c>
      <c r="AO328" s="320">
        <f t="shared" si="1748"/>
        <v>0</v>
      </c>
      <c r="AP328" s="320">
        <f t="shared" si="1748"/>
        <v>0</v>
      </c>
      <c r="AQ328" s="320">
        <f t="shared" si="1748"/>
        <v>0</v>
      </c>
      <c r="AR328" s="320">
        <f t="shared" si="1748"/>
        <v>0</v>
      </c>
      <c r="AS328" s="320">
        <f t="shared" si="1748"/>
        <v>0</v>
      </c>
      <c r="AT328" s="320">
        <f t="shared" si="1748"/>
        <v>0</v>
      </c>
      <c r="AU328" s="320">
        <f t="shared" si="1748"/>
        <v>0</v>
      </c>
      <c r="AV328" s="320">
        <f t="shared" si="1748"/>
        <v>0</v>
      </c>
      <c r="AW328" s="320">
        <f t="shared" si="1748"/>
        <v>0</v>
      </c>
      <c r="AX328" s="320">
        <f t="shared" si="1748"/>
        <v>0</v>
      </c>
      <c r="AY328" s="320">
        <f t="shared" si="1748"/>
        <v>0</v>
      </c>
      <c r="AZ328" s="320">
        <f t="shared" si="1748"/>
        <v>0</v>
      </c>
      <c r="BA328" s="320">
        <f t="shared" si="1748"/>
        <v>0</v>
      </c>
      <c r="BB328" s="320">
        <f t="shared" si="1748"/>
        <v>0</v>
      </c>
      <c r="BC328" s="320">
        <f t="shared" si="1748"/>
        <v>0</v>
      </c>
      <c r="BD328" s="320">
        <f t="shared" si="1748"/>
        <v>0</v>
      </c>
      <c r="BE328" s="320">
        <f t="shared" si="1748"/>
        <v>0</v>
      </c>
      <c r="BF328" s="320">
        <f t="shared" si="1748"/>
        <v>0</v>
      </c>
      <c r="BG328" s="320">
        <f t="shared" si="1748"/>
        <v>0</v>
      </c>
      <c r="BH328" s="320">
        <f t="shared" si="1748"/>
        <v>0</v>
      </c>
      <c r="BI328" s="320">
        <f t="shared" si="1748"/>
        <v>0</v>
      </c>
      <c r="BJ328" s="320">
        <f t="shared" si="1748"/>
        <v>0</v>
      </c>
      <c r="BK328" s="320">
        <f t="shared" si="1748"/>
        <v>0</v>
      </c>
      <c r="BL328" s="320">
        <f t="shared" si="1748"/>
        <v>0</v>
      </c>
      <c r="BM328" s="320">
        <f t="shared" si="1748"/>
        <v>0</v>
      </c>
      <c r="BN328" s="320">
        <f t="shared" si="1748"/>
        <v>150.44999999999999</v>
      </c>
      <c r="BO328" s="320">
        <f t="shared" si="1748"/>
        <v>0</v>
      </c>
      <c r="BP328" s="320">
        <f t="shared" si="1748"/>
        <v>150.44999999999999</v>
      </c>
      <c r="BQ328" s="320">
        <f t="shared" si="1748"/>
        <v>1849.55</v>
      </c>
      <c r="BR328" s="320">
        <f t="shared" si="1748"/>
        <v>0</v>
      </c>
      <c r="BS328" s="320">
        <f t="shared" si="1748"/>
        <v>1849.55</v>
      </c>
      <c r="BT328" s="320">
        <f t="shared" si="1748"/>
        <v>0</v>
      </c>
      <c r="BU328" s="320">
        <f t="shared" si="1748"/>
        <v>150.44999999999999</v>
      </c>
      <c r="BV328" s="320">
        <f t="shared" si="1748"/>
        <v>1849.55</v>
      </c>
      <c r="BW328" s="320">
        <f t="shared" si="1748"/>
        <v>2000</v>
      </c>
      <c r="BX328" s="6"/>
      <c r="BY328" s="6"/>
      <c r="BZ328" s="6"/>
      <c r="CA328" s="6"/>
      <c r="CB328" s="6"/>
      <c r="CC328" s="6"/>
      <c r="CD328" s="6"/>
      <c r="CE328" s="6"/>
      <c r="CF328" s="6"/>
      <c r="CG328" s="6"/>
    </row>
    <row r="329" spans="1:85" ht="15.75" customHeight="1">
      <c r="A329" s="325"/>
      <c r="B329" s="326"/>
      <c r="C329" s="327"/>
      <c r="D329" s="328" t="s">
        <v>478</v>
      </c>
      <c r="E329" s="329">
        <f t="shared" ref="E329:H329" si="1749">E330+E333+E335+E337</f>
        <v>19403.940000000002</v>
      </c>
      <c r="F329" s="329">
        <f t="shared" si="1749"/>
        <v>0</v>
      </c>
      <c r="G329" s="329">
        <f t="shared" si="1749"/>
        <v>19403.940000000002</v>
      </c>
      <c r="H329" s="329">
        <f t="shared" si="1749"/>
        <v>0</v>
      </c>
      <c r="I329" s="330">
        <f t="shared" si="1582"/>
        <v>0</v>
      </c>
      <c r="J329" s="330">
        <f t="shared" si="1583"/>
        <v>0</v>
      </c>
      <c r="K329" s="329">
        <f t="shared" ref="K329:W329" si="1750">K330+K333+K335+K337</f>
        <v>0</v>
      </c>
      <c r="L329" s="329">
        <f t="shared" si="1750"/>
        <v>0</v>
      </c>
      <c r="M329" s="329">
        <f t="shared" si="1750"/>
        <v>0</v>
      </c>
      <c r="N329" s="329">
        <f t="shared" si="1750"/>
        <v>0</v>
      </c>
      <c r="O329" s="329">
        <f t="shared" si="1750"/>
        <v>0</v>
      </c>
      <c r="P329" s="329">
        <f t="shared" si="1750"/>
        <v>0</v>
      </c>
      <c r="Q329" s="329">
        <f t="shared" si="1750"/>
        <v>0</v>
      </c>
      <c r="R329" s="329">
        <f t="shared" si="1750"/>
        <v>0</v>
      </c>
      <c r="S329" s="329">
        <f t="shared" si="1750"/>
        <v>0</v>
      </c>
      <c r="T329" s="329">
        <f t="shared" si="1750"/>
        <v>0</v>
      </c>
      <c r="U329" s="329">
        <f t="shared" si="1750"/>
        <v>0</v>
      </c>
      <c r="V329" s="329">
        <f t="shared" si="1750"/>
        <v>0</v>
      </c>
      <c r="W329" s="329">
        <f t="shared" si="1750"/>
        <v>0</v>
      </c>
      <c r="X329" s="331">
        <f t="shared" ref="X329:Y329" si="1751">IF(O329&gt;0,O329/K329,0)</f>
        <v>0</v>
      </c>
      <c r="Y329" s="331">
        <f t="shared" si="1751"/>
        <v>0</v>
      </c>
      <c r="Z329" s="331">
        <f t="shared" si="1658"/>
        <v>0</v>
      </c>
      <c r="AA329" s="329">
        <f t="shared" ref="AA329:BW329" si="1752">AA330+AA333+AA335+AA337</f>
        <v>0</v>
      </c>
      <c r="AB329" s="329">
        <f t="shared" si="1752"/>
        <v>0</v>
      </c>
      <c r="AC329" s="329">
        <f t="shared" si="1752"/>
        <v>0</v>
      </c>
      <c r="AD329" s="329">
        <f t="shared" si="1752"/>
        <v>0</v>
      </c>
      <c r="AE329" s="329">
        <f t="shared" si="1752"/>
        <v>0</v>
      </c>
      <c r="AF329" s="329">
        <f t="shared" si="1752"/>
        <v>0</v>
      </c>
      <c r="AG329" s="329">
        <f t="shared" si="1752"/>
        <v>0</v>
      </c>
      <c r="AH329" s="329">
        <f t="shared" si="1752"/>
        <v>0</v>
      </c>
      <c r="AI329" s="329">
        <f t="shared" si="1752"/>
        <v>0</v>
      </c>
      <c r="AJ329" s="329">
        <f t="shared" si="1752"/>
        <v>0</v>
      </c>
      <c r="AK329" s="329">
        <f t="shared" si="1752"/>
        <v>0</v>
      </c>
      <c r="AL329" s="329">
        <f t="shared" si="1752"/>
        <v>0</v>
      </c>
      <c r="AM329" s="329">
        <f t="shared" si="1752"/>
        <v>0</v>
      </c>
      <c r="AN329" s="329">
        <f t="shared" si="1752"/>
        <v>0</v>
      </c>
      <c r="AO329" s="329">
        <f t="shared" si="1752"/>
        <v>0</v>
      </c>
      <c r="AP329" s="329">
        <f t="shared" si="1752"/>
        <v>0</v>
      </c>
      <c r="AQ329" s="329">
        <f t="shared" si="1752"/>
        <v>0</v>
      </c>
      <c r="AR329" s="329">
        <f t="shared" si="1752"/>
        <v>0</v>
      </c>
      <c r="AS329" s="329">
        <f t="shared" si="1752"/>
        <v>0</v>
      </c>
      <c r="AT329" s="329">
        <f t="shared" si="1752"/>
        <v>0</v>
      </c>
      <c r="AU329" s="329">
        <f t="shared" si="1752"/>
        <v>0</v>
      </c>
      <c r="AV329" s="329">
        <f t="shared" si="1752"/>
        <v>0</v>
      </c>
      <c r="AW329" s="329">
        <f t="shared" si="1752"/>
        <v>0</v>
      </c>
      <c r="AX329" s="329">
        <f t="shared" si="1752"/>
        <v>0</v>
      </c>
      <c r="AY329" s="329">
        <f t="shared" si="1752"/>
        <v>0</v>
      </c>
      <c r="AZ329" s="329">
        <f t="shared" si="1752"/>
        <v>0</v>
      </c>
      <c r="BA329" s="329">
        <f t="shared" si="1752"/>
        <v>0</v>
      </c>
      <c r="BB329" s="329">
        <f t="shared" si="1752"/>
        <v>0</v>
      </c>
      <c r="BC329" s="329">
        <f t="shared" si="1752"/>
        <v>0</v>
      </c>
      <c r="BD329" s="329">
        <f t="shared" si="1752"/>
        <v>0</v>
      </c>
      <c r="BE329" s="329">
        <f t="shared" si="1752"/>
        <v>0</v>
      </c>
      <c r="BF329" s="329">
        <f t="shared" si="1752"/>
        <v>0</v>
      </c>
      <c r="BG329" s="329">
        <f t="shared" si="1752"/>
        <v>0</v>
      </c>
      <c r="BH329" s="329">
        <f t="shared" si="1752"/>
        <v>0</v>
      </c>
      <c r="BI329" s="329">
        <f t="shared" si="1752"/>
        <v>0</v>
      </c>
      <c r="BJ329" s="329">
        <f t="shared" si="1752"/>
        <v>0</v>
      </c>
      <c r="BK329" s="329">
        <f t="shared" si="1752"/>
        <v>0</v>
      </c>
      <c r="BL329" s="329">
        <f t="shared" si="1752"/>
        <v>0</v>
      </c>
      <c r="BM329" s="329">
        <f t="shared" si="1752"/>
        <v>0</v>
      </c>
      <c r="BN329" s="329">
        <f t="shared" si="1752"/>
        <v>0</v>
      </c>
      <c r="BO329" s="329">
        <f t="shared" si="1752"/>
        <v>0</v>
      </c>
      <c r="BP329" s="329">
        <f t="shared" si="1752"/>
        <v>0</v>
      </c>
      <c r="BQ329" s="329">
        <f t="shared" si="1752"/>
        <v>0</v>
      </c>
      <c r="BR329" s="329">
        <f t="shared" si="1752"/>
        <v>0</v>
      </c>
      <c r="BS329" s="329">
        <f t="shared" si="1752"/>
        <v>0</v>
      </c>
      <c r="BT329" s="329">
        <f t="shared" si="1752"/>
        <v>0</v>
      </c>
      <c r="BU329" s="329">
        <f t="shared" si="1752"/>
        <v>0</v>
      </c>
      <c r="BV329" s="329">
        <f t="shared" si="1752"/>
        <v>0</v>
      </c>
      <c r="BW329" s="329">
        <f t="shared" si="1752"/>
        <v>0</v>
      </c>
      <c r="BX329" s="6"/>
      <c r="BY329" s="6"/>
      <c r="BZ329" s="6"/>
      <c r="CA329" s="6"/>
      <c r="CB329" s="6"/>
      <c r="CC329" s="6"/>
      <c r="CD329" s="6"/>
      <c r="CE329" s="6"/>
      <c r="CF329" s="6"/>
      <c r="CG329" s="6"/>
    </row>
    <row r="330" spans="1:85" ht="15.75">
      <c r="A330" s="41"/>
      <c r="B330" s="42"/>
      <c r="C330" s="43"/>
      <c r="D330" s="44" t="s">
        <v>67</v>
      </c>
      <c r="E330" s="45">
        <f t="shared" ref="E330:H330" si="1753">SUM(E331:E332)</f>
        <v>7937.81</v>
      </c>
      <c r="F330" s="46">
        <f t="shared" si="1753"/>
        <v>0</v>
      </c>
      <c r="G330" s="46">
        <f t="shared" si="1753"/>
        <v>7937.81</v>
      </c>
      <c r="H330" s="46">
        <f t="shared" si="1753"/>
        <v>0</v>
      </c>
      <c r="I330" s="47">
        <f t="shared" si="1582"/>
        <v>0</v>
      </c>
      <c r="J330" s="47">
        <f t="shared" si="1583"/>
        <v>0</v>
      </c>
      <c r="K330" s="46">
        <f t="shared" ref="K330:W330" si="1754">SUM(K331:K332)</f>
        <v>0</v>
      </c>
      <c r="L330" s="46">
        <f t="shared" si="1754"/>
        <v>0</v>
      </c>
      <c r="M330" s="46">
        <f t="shared" si="1754"/>
        <v>0</v>
      </c>
      <c r="N330" s="46">
        <f t="shared" si="1754"/>
        <v>0</v>
      </c>
      <c r="O330" s="46">
        <f t="shared" si="1754"/>
        <v>0</v>
      </c>
      <c r="P330" s="46">
        <f t="shared" si="1754"/>
        <v>0</v>
      </c>
      <c r="Q330" s="46">
        <f t="shared" si="1754"/>
        <v>0</v>
      </c>
      <c r="R330" s="46">
        <f t="shared" si="1754"/>
        <v>0</v>
      </c>
      <c r="S330" s="46">
        <f t="shared" si="1754"/>
        <v>0</v>
      </c>
      <c r="T330" s="46">
        <f t="shared" si="1754"/>
        <v>0</v>
      </c>
      <c r="U330" s="46">
        <f t="shared" si="1754"/>
        <v>0</v>
      </c>
      <c r="V330" s="46">
        <f t="shared" si="1754"/>
        <v>0</v>
      </c>
      <c r="W330" s="46">
        <f t="shared" si="1754"/>
        <v>0</v>
      </c>
      <c r="X330" s="50">
        <f t="shared" ref="X330:Y330" si="1755">IF(O330&gt;0,O330/K330,0)</f>
        <v>0</v>
      </c>
      <c r="Y330" s="50">
        <f t="shared" si="1755"/>
        <v>0</v>
      </c>
      <c r="Z330" s="50">
        <f t="shared" si="1658"/>
        <v>0</v>
      </c>
      <c r="AA330" s="46">
        <f t="shared" ref="AA330:BW330" si="1756">SUM(AA331:AA332)</f>
        <v>0</v>
      </c>
      <c r="AB330" s="46">
        <f t="shared" si="1756"/>
        <v>0</v>
      </c>
      <c r="AC330" s="46">
        <f t="shared" si="1756"/>
        <v>0</v>
      </c>
      <c r="AD330" s="46">
        <f t="shared" si="1756"/>
        <v>0</v>
      </c>
      <c r="AE330" s="46">
        <f t="shared" si="1756"/>
        <v>0</v>
      </c>
      <c r="AF330" s="46">
        <f t="shared" si="1756"/>
        <v>0</v>
      </c>
      <c r="AG330" s="46">
        <f t="shared" si="1756"/>
        <v>0</v>
      </c>
      <c r="AH330" s="46">
        <f t="shared" si="1756"/>
        <v>0</v>
      </c>
      <c r="AI330" s="46">
        <f t="shared" si="1756"/>
        <v>0</v>
      </c>
      <c r="AJ330" s="46">
        <f t="shared" si="1756"/>
        <v>0</v>
      </c>
      <c r="AK330" s="46">
        <f t="shared" si="1756"/>
        <v>0</v>
      </c>
      <c r="AL330" s="46">
        <f t="shared" si="1756"/>
        <v>0</v>
      </c>
      <c r="AM330" s="46">
        <f t="shared" si="1756"/>
        <v>0</v>
      </c>
      <c r="AN330" s="46">
        <f t="shared" si="1756"/>
        <v>0</v>
      </c>
      <c r="AO330" s="46">
        <f t="shared" si="1756"/>
        <v>0</v>
      </c>
      <c r="AP330" s="46">
        <f t="shared" si="1756"/>
        <v>0</v>
      </c>
      <c r="AQ330" s="46">
        <f t="shared" si="1756"/>
        <v>0</v>
      </c>
      <c r="AR330" s="46">
        <f t="shared" si="1756"/>
        <v>0</v>
      </c>
      <c r="AS330" s="46">
        <f t="shared" si="1756"/>
        <v>0</v>
      </c>
      <c r="AT330" s="46">
        <f t="shared" si="1756"/>
        <v>0</v>
      </c>
      <c r="AU330" s="46">
        <f t="shared" si="1756"/>
        <v>0</v>
      </c>
      <c r="AV330" s="46">
        <f t="shared" si="1756"/>
        <v>0</v>
      </c>
      <c r="AW330" s="46">
        <f t="shared" si="1756"/>
        <v>0</v>
      </c>
      <c r="AX330" s="46">
        <f t="shared" si="1756"/>
        <v>0</v>
      </c>
      <c r="AY330" s="46">
        <f t="shared" si="1756"/>
        <v>0</v>
      </c>
      <c r="AZ330" s="46">
        <f t="shared" si="1756"/>
        <v>0</v>
      </c>
      <c r="BA330" s="46">
        <f t="shared" si="1756"/>
        <v>0</v>
      </c>
      <c r="BB330" s="46">
        <f t="shared" si="1756"/>
        <v>0</v>
      </c>
      <c r="BC330" s="46">
        <f t="shared" si="1756"/>
        <v>0</v>
      </c>
      <c r="BD330" s="46">
        <f t="shared" si="1756"/>
        <v>0</v>
      </c>
      <c r="BE330" s="46">
        <f t="shared" si="1756"/>
        <v>0</v>
      </c>
      <c r="BF330" s="46">
        <f t="shared" si="1756"/>
        <v>0</v>
      </c>
      <c r="BG330" s="46">
        <f t="shared" si="1756"/>
        <v>0</v>
      </c>
      <c r="BH330" s="46">
        <f t="shared" si="1756"/>
        <v>0</v>
      </c>
      <c r="BI330" s="46">
        <f t="shared" si="1756"/>
        <v>0</v>
      </c>
      <c r="BJ330" s="46">
        <f t="shared" si="1756"/>
        <v>0</v>
      </c>
      <c r="BK330" s="46">
        <f t="shared" si="1756"/>
        <v>0</v>
      </c>
      <c r="BL330" s="46">
        <f t="shared" si="1756"/>
        <v>0</v>
      </c>
      <c r="BM330" s="46">
        <f t="shared" si="1756"/>
        <v>0</v>
      </c>
      <c r="BN330" s="46">
        <f t="shared" si="1756"/>
        <v>0</v>
      </c>
      <c r="BO330" s="46">
        <f t="shared" si="1756"/>
        <v>0</v>
      </c>
      <c r="BP330" s="46">
        <f t="shared" si="1756"/>
        <v>0</v>
      </c>
      <c r="BQ330" s="46">
        <f t="shared" si="1756"/>
        <v>0</v>
      </c>
      <c r="BR330" s="46">
        <f t="shared" si="1756"/>
        <v>0</v>
      </c>
      <c r="BS330" s="46">
        <f t="shared" si="1756"/>
        <v>0</v>
      </c>
      <c r="BT330" s="46">
        <f t="shared" si="1756"/>
        <v>0</v>
      </c>
      <c r="BU330" s="46">
        <f t="shared" si="1756"/>
        <v>0</v>
      </c>
      <c r="BV330" s="46">
        <f t="shared" si="1756"/>
        <v>0</v>
      </c>
      <c r="BW330" s="46">
        <f t="shared" si="1756"/>
        <v>0</v>
      </c>
      <c r="BX330" s="51"/>
      <c r="BY330" s="51"/>
      <c r="BZ330" s="51"/>
      <c r="CA330" s="51"/>
      <c r="CB330" s="51"/>
      <c r="CC330" s="51"/>
      <c r="CD330" s="51"/>
      <c r="CE330" s="51"/>
      <c r="CF330" s="51"/>
      <c r="CG330" s="51"/>
    </row>
    <row r="331" spans="1:85" ht="15.75" customHeight="1">
      <c r="A331" s="68"/>
      <c r="B331" s="103"/>
      <c r="C331" s="68" t="s">
        <v>69</v>
      </c>
      <c r="D331" s="70" t="s">
        <v>70</v>
      </c>
      <c r="E331" s="56">
        <v>2600</v>
      </c>
      <c r="F331" s="99">
        <v>0</v>
      </c>
      <c r="G331" s="58">
        <f t="shared" ref="G331:G332" si="1757">E331-F331</f>
        <v>2600</v>
      </c>
      <c r="H331" s="99">
        <v>0</v>
      </c>
      <c r="I331" s="59">
        <f t="shared" si="1582"/>
        <v>0</v>
      </c>
      <c r="J331" s="59">
        <f t="shared" si="1583"/>
        <v>0</v>
      </c>
      <c r="K331" s="74">
        <v>0</v>
      </c>
      <c r="L331" s="74">
        <v>0</v>
      </c>
      <c r="M331" s="74">
        <v>0</v>
      </c>
      <c r="N331" s="74">
        <v>0</v>
      </c>
      <c r="O331" s="61">
        <f t="shared" ref="O331:Q331" si="1758">AA331+AD331+AG331+AJ331+AM331+AP331+AS331+AV331+AY331+BB331+BE331+BH331</f>
        <v>0</v>
      </c>
      <c r="P331" s="61">
        <f t="shared" si="1758"/>
        <v>0</v>
      </c>
      <c r="Q331" s="61">
        <f t="shared" si="1758"/>
        <v>0</v>
      </c>
      <c r="R331" s="61">
        <f t="shared" ref="R331:T331" si="1759">IF(BK331=0,SUM(AA331+AD331+AG331+AJ331+AM331+AP331+AS331+AV331+AY331+BB331+BE331+BH331),BK331)</f>
        <v>0</v>
      </c>
      <c r="S331" s="61">
        <f t="shared" si="1759"/>
        <v>0</v>
      </c>
      <c r="T331" s="61">
        <f t="shared" si="1759"/>
        <v>0</v>
      </c>
      <c r="U331" s="63">
        <f t="shared" ref="U331:U332" si="1760">K331-O331</f>
        <v>0</v>
      </c>
      <c r="V331" s="63">
        <f t="shared" ref="V331:V332" si="1761">L331-M331-S331</f>
        <v>0</v>
      </c>
      <c r="W331" s="63">
        <f t="shared" ref="W331:W332" si="1762">N331-Q331</f>
        <v>0</v>
      </c>
      <c r="X331" s="64">
        <f t="shared" ref="X331:Y331" si="1763">IF(O331&gt;0,O331/K331,0)</f>
        <v>0</v>
      </c>
      <c r="Y331" s="64">
        <f t="shared" si="1763"/>
        <v>0</v>
      </c>
      <c r="Z331" s="64">
        <f t="shared" si="1658"/>
        <v>0</v>
      </c>
      <c r="AA331" s="65"/>
      <c r="AB331" s="65"/>
      <c r="AC331" s="65"/>
      <c r="AD331" s="65"/>
      <c r="AE331" s="66"/>
      <c r="AF331" s="66"/>
      <c r="AG331" s="66"/>
      <c r="AH331" s="66"/>
      <c r="AI331" s="65"/>
      <c r="AJ331" s="65"/>
      <c r="AK331" s="65"/>
      <c r="AL331" s="65"/>
      <c r="AM331" s="65"/>
      <c r="AN331" s="65"/>
      <c r="AO331" s="65"/>
      <c r="AP331" s="65"/>
      <c r="AQ331" s="65"/>
      <c r="AR331" s="65"/>
      <c r="AS331" s="65"/>
      <c r="AT331" s="65"/>
      <c r="AU331" s="65"/>
      <c r="AV331" s="65"/>
      <c r="AW331" s="65"/>
      <c r="AX331" s="65"/>
      <c r="AY331" s="65"/>
      <c r="AZ331" s="65"/>
      <c r="BA331" s="65"/>
      <c r="BB331" s="65"/>
      <c r="BC331" s="65"/>
      <c r="BD331" s="65"/>
      <c r="BE331" s="65"/>
      <c r="BF331" s="65"/>
      <c r="BG331" s="65"/>
      <c r="BH331" s="65"/>
      <c r="BI331" s="65"/>
      <c r="BJ331" s="65"/>
      <c r="BK331" s="65">
        <v>0</v>
      </c>
      <c r="BL331" s="65">
        <v>0</v>
      </c>
      <c r="BM331" s="65">
        <v>0</v>
      </c>
      <c r="BN331" s="65">
        <f t="shared" ref="BN331:BN332" si="1764">IF(O331-BK331&gt;0,O331-BK331,0)</f>
        <v>0</v>
      </c>
      <c r="BO331" s="67">
        <f t="shared" ref="BO331:BO332" si="1765">IF(Q331-BM331&gt;0,Q331-BM331,0)</f>
        <v>0</v>
      </c>
      <c r="BP331" s="65">
        <f t="shared" ref="BP331:BP332" si="1766">IF(BN331+BO331&gt;0,BN331+BO331,0)</f>
        <v>0</v>
      </c>
      <c r="BQ331" s="65">
        <f t="shared" ref="BQ331:BQ332" si="1767">IF(U331=0,0,U331)</f>
        <v>0</v>
      </c>
      <c r="BR331" s="65">
        <f t="shared" ref="BR331:BR332" si="1768">IF(W331=0,0,W331)</f>
        <v>0</v>
      </c>
      <c r="BS331" s="65">
        <f t="shared" ref="BS331:BS332" si="1769">IF(BQ331+BR331&gt;0,BQ331+BR331,0)</f>
        <v>0</v>
      </c>
      <c r="BT331" s="65">
        <f t="shared" ref="BT331:BT332" si="1770">IF(V331&gt;0,V331,0)</f>
        <v>0</v>
      </c>
      <c r="BU331" s="65">
        <f t="shared" ref="BU331:BU332" si="1771">IF(BP331=0,0,BP331)</f>
        <v>0</v>
      </c>
      <c r="BV331" s="65">
        <f t="shared" ref="BV331:BV332" si="1772">IF(BS331=0,0,BS331)</f>
        <v>0</v>
      </c>
      <c r="BW331" s="65">
        <f t="shared" ref="BW331:BW332" si="1773">IF(BP331+BT331+BV331&gt;0,BP331+BT331+BV331,0)</f>
        <v>0</v>
      </c>
      <c r="BX331" s="6"/>
      <c r="BY331" s="6"/>
      <c r="BZ331" s="6"/>
      <c r="CA331" s="6"/>
      <c r="CB331" s="6"/>
      <c r="CC331" s="6"/>
      <c r="CD331" s="6"/>
      <c r="CE331" s="6"/>
      <c r="CF331" s="6"/>
      <c r="CG331" s="6"/>
    </row>
    <row r="332" spans="1:85" ht="15.75" customHeight="1">
      <c r="A332" s="68"/>
      <c r="B332" s="103"/>
      <c r="C332" s="68" t="s">
        <v>73</v>
      </c>
      <c r="D332" s="70" t="s">
        <v>74</v>
      </c>
      <c r="E332" s="56">
        <v>5337.81</v>
      </c>
      <c r="F332" s="99">
        <v>0</v>
      </c>
      <c r="G332" s="58">
        <f t="shared" si="1757"/>
        <v>5337.81</v>
      </c>
      <c r="H332" s="99">
        <v>0</v>
      </c>
      <c r="I332" s="59">
        <f t="shared" si="1582"/>
        <v>0</v>
      </c>
      <c r="J332" s="59">
        <f t="shared" si="1583"/>
        <v>0</v>
      </c>
      <c r="K332" s="74">
        <v>0</v>
      </c>
      <c r="L332" s="74">
        <v>0</v>
      </c>
      <c r="M332" s="74">
        <v>0</v>
      </c>
      <c r="N332" s="74">
        <v>0</v>
      </c>
      <c r="O332" s="61">
        <f t="shared" ref="O332:Q332" si="1774">AA332+AD332+AG332+AJ332+AM332+AP332+AS332+AV332+AY332+BB332+BE332+BH332</f>
        <v>0</v>
      </c>
      <c r="P332" s="61">
        <f t="shared" si="1774"/>
        <v>0</v>
      </c>
      <c r="Q332" s="61">
        <f t="shared" si="1774"/>
        <v>0</v>
      </c>
      <c r="R332" s="61">
        <f t="shared" ref="R332:T332" si="1775">IF(BK332=0,SUM(AA332+AD332+AG332+AJ332+AM332+AP332+AS332+AV332+AY332+BB332+BE332+BH332),BK332)</f>
        <v>0</v>
      </c>
      <c r="S332" s="61">
        <f t="shared" si="1775"/>
        <v>0</v>
      </c>
      <c r="T332" s="61">
        <f t="shared" si="1775"/>
        <v>0</v>
      </c>
      <c r="U332" s="63">
        <f t="shared" si="1760"/>
        <v>0</v>
      </c>
      <c r="V332" s="63">
        <f t="shared" si="1761"/>
        <v>0</v>
      </c>
      <c r="W332" s="63">
        <f t="shared" si="1762"/>
        <v>0</v>
      </c>
      <c r="X332" s="64">
        <f t="shared" ref="X332:Y332" si="1776">IF(O332&gt;0,O332/K332,0)</f>
        <v>0</v>
      </c>
      <c r="Y332" s="64">
        <f t="shared" si="1776"/>
        <v>0</v>
      </c>
      <c r="Z332" s="64">
        <f t="shared" si="1658"/>
        <v>0</v>
      </c>
      <c r="AA332" s="65"/>
      <c r="AB332" s="65"/>
      <c r="AC332" s="65"/>
      <c r="AD332" s="65"/>
      <c r="AE332" s="66"/>
      <c r="AF332" s="66"/>
      <c r="AG332" s="66"/>
      <c r="AH332" s="66"/>
      <c r="AI332" s="65"/>
      <c r="AJ332" s="65"/>
      <c r="AK332" s="65"/>
      <c r="AL332" s="65"/>
      <c r="AM332" s="65"/>
      <c r="AN332" s="65"/>
      <c r="AO332" s="65"/>
      <c r="AP332" s="65"/>
      <c r="AQ332" s="65"/>
      <c r="AR332" s="65"/>
      <c r="AS332" s="65"/>
      <c r="AT332" s="65"/>
      <c r="AU332" s="65"/>
      <c r="AV332" s="65"/>
      <c r="AW332" s="65"/>
      <c r="AX332" s="65"/>
      <c r="AY332" s="65"/>
      <c r="AZ332" s="65"/>
      <c r="BA332" s="65"/>
      <c r="BB332" s="65"/>
      <c r="BC332" s="65"/>
      <c r="BD332" s="65"/>
      <c r="BE332" s="65"/>
      <c r="BF332" s="65"/>
      <c r="BG332" s="65"/>
      <c r="BH332" s="65"/>
      <c r="BI332" s="65"/>
      <c r="BJ332" s="65"/>
      <c r="BK332" s="65">
        <v>0</v>
      </c>
      <c r="BL332" s="65">
        <v>0</v>
      </c>
      <c r="BM332" s="65">
        <v>0</v>
      </c>
      <c r="BN332" s="65">
        <f t="shared" si="1764"/>
        <v>0</v>
      </c>
      <c r="BO332" s="67">
        <f t="shared" si="1765"/>
        <v>0</v>
      </c>
      <c r="BP332" s="65">
        <f t="shared" si="1766"/>
        <v>0</v>
      </c>
      <c r="BQ332" s="65">
        <f t="shared" si="1767"/>
        <v>0</v>
      </c>
      <c r="BR332" s="65">
        <f t="shared" si="1768"/>
        <v>0</v>
      </c>
      <c r="BS332" s="65">
        <f t="shared" si="1769"/>
        <v>0</v>
      </c>
      <c r="BT332" s="65">
        <f t="shared" si="1770"/>
        <v>0</v>
      </c>
      <c r="BU332" s="65">
        <f t="shared" si="1771"/>
        <v>0</v>
      </c>
      <c r="BV332" s="65">
        <f t="shared" si="1772"/>
        <v>0</v>
      </c>
      <c r="BW332" s="65">
        <f t="shared" si="1773"/>
        <v>0</v>
      </c>
      <c r="BX332" s="6"/>
      <c r="BY332" s="6"/>
      <c r="BZ332" s="6"/>
      <c r="CA332" s="6"/>
      <c r="CB332" s="6"/>
      <c r="CC332" s="6"/>
      <c r="CD332" s="6"/>
      <c r="CE332" s="6"/>
      <c r="CF332" s="6"/>
      <c r="CG332" s="6"/>
    </row>
    <row r="333" spans="1:85" ht="15.75">
      <c r="A333" s="75"/>
      <c r="B333" s="76"/>
      <c r="C333" s="77"/>
      <c r="D333" s="78" t="s">
        <v>83</v>
      </c>
      <c r="E333" s="45">
        <f t="shared" ref="E333:H333" si="1777">SUM(E334)</f>
        <v>3066.13</v>
      </c>
      <c r="F333" s="46">
        <f t="shared" si="1777"/>
        <v>0</v>
      </c>
      <c r="G333" s="46">
        <f t="shared" si="1777"/>
        <v>3066.13</v>
      </c>
      <c r="H333" s="46">
        <f t="shared" si="1777"/>
        <v>0</v>
      </c>
      <c r="I333" s="47">
        <f t="shared" si="1582"/>
        <v>0</v>
      </c>
      <c r="J333" s="47">
        <f t="shared" si="1583"/>
        <v>0</v>
      </c>
      <c r="K333" s="46">
        <f t="shared" ref="K333:W333" si="1778">SUM(K334)</f>
        <v>0</v>
      </c>
      <c r="L333" s="46">
        <f t="shared" si="1778"/>
        <v>0</v>
      </c>
      <c r="M333" s="46">
        <f t="shared" si="1778"/>
        <v>0</v>
      </c>
      <c r="N333" s="46">
        <f t="shared" si="1778"/>
        <v>0</v>
      </c>
      <c r="O333" s="46">
        <f t="shared" si="1778"/>
        <v>0</v>
      </c>
      <c r="P333" s="46">
        <f t="shared" si="1778"/>
        <v>0</v>
      </c>
      <c r="Q333" s="46">
        <f t="shared" si="1778"/>
        <v>0</v>
      </c>
      <c r="R333" s="46">
        <f t="shared" si="1778"/>
        <v>0</v>
      </c>
      <c r="S333" s="46">
        <f t="shared" si="1778"/>
        <v>0</v>
      </c>
      <c r="T333" s="46">
        <f t="shared" si="1778"/>
        <v>0</v>
      </c>
      <c r="U333" s="46">
        <f t="shared" si="1778"/>
        <v>0</v>
      </c>
      <c r="V333" s="46">
        <f t="shared" si="1778"/>
        <v>0</v>
      </c>
      <c r="W333" s="46">
        <f t="shared" si="1778"/>
        <v>0</v>
      </c>
      <c r="X333" s="50">
        <f t="shared" ref="X333:Y333" si="1779">IF(O333&gt;0,O333/K333,0)</f>
        <v>0</v>
      </c>
      <c r="Y333" s="50">
        <f t="shared" si="1779"/>
        <v>0</v>
      </c>
      <c r="Z333" s="50">
        <f t="shared" si="1658"/>
        <v>0</v>
      </c>
      <c r="AA333" s="46">
        <f t="shared" ref="AA333:BW333" si="1780">SUM(AA334)</f>
        <v>0</v>
      </c>
      <c r="AB333" s="46">
        <f t="shared" si="1780"/>
        <v>0</v>
      </c>
      <c r="AC333" s="46">
        <f t="shared" si="1780"/>
        <v>0</v>
      </c>
      <c r="AD333" s="46">
        <f t="shared" si="1780"/>
        <v>0</v>
      </c>
      <c r="AE333" s="46">
        <f t="shared" si="1780"/>
        <v>0</v>
      </c>
      <c r="AF333" s="46">
        <f t="shared" si="1780"/>
        <v>0</v>
      </c>
      <c r="AG333" s="46">
        <f t="shared" si="1780"/>
        <v>0</v>
      </c>
      <c r="AH333" s="46">
        <f t="shared" si="1780"/>
        <v>0</v>
      </c>
      <c r="AI333" s="46">
        <f t="shared" si="1780"/>
        <v>0</v>
      </c>
      <c r="AJ333" s="46">
        <f t="shared" si="1780"/>
        <v>0</v>
      </c>
      <c r="AK333" s="46">
        <f t="shared" si="1780"/>
        <v>0</v>
      </c>
      <c r="AL333" s="46">
        <f t="shared" si="1780"/>
        <v>0</v>
      </c>
      <c r="AM333" s="46">
        <f t="shared" si="1780"/>
        <v>0</v>
      </c>
      <c r="AN333" s="46">
        <f t="shared" si="1780"/>
        <v>0</v>
      </c>
      <c r="AO333" s="46">
        <f t="shared" si="1780"/>
        <v>0</v>
      </c>
      <c r="AP333" s="46">
        <f t="shared" si="1780"/>
        <v>0</v>
      </c>
      <c r="AQ333" s="46">
        <f t="shared" si="1780"/>
        <v>0</v>
      </c>
      <c r="AR333" s="46">
        <f t="shared" si="1780"/>
        <v>0</v>
      </c>
      <c r="AS333" s="46">
        <f t="shared" si="1780"/>
        <v>0</v>
      </c>
      <c r="AT333" s="46">
        <f t="shared" si="1780"/>
        <v>0</v>
      </c>
      <c r="AU333" s="46">
        <f t="shared" si="1780"/>
        <v>0</v>
      </c>
      <c r="AV333" s="46">
        <f t="shared" si="1780"/>
        <v>0</v>
      </c>
      <c r="AW333" s="46">
        <f t="shared" si="1780"/>
        <v>0</v>
      </c>
      <c r="AX333" s="46">
        <f t="shared" si="1780"/>
        <v>0</v>
      </c>
      <c r="AY333" s="46">
        <f t="shared" si="1780"/>
        <v>0</v>
      </c>
      <c r="AZ333" s="46">
        <f t="shared" si="1780"/>
        <v>0</v>
      </c>
      <c r="BA333" s="46">
        <f t="shared" si="1780"/>
        <v>0</v>
      </c>
      <c r="BB333" s="46">
        <f t="shared" si="1780"/>
        <v>0</v>
      </c>
      <c r="BC333" s="46">
        <f t="shared" si="1780"/>
        <v>0</v>
      </c>
      <c r="BD333" s="46">
        <f t="shared" si="1780"/>
        <v>0</v>
      </c>
      <c r="BE333" s="46">
        <f t="shared" si="1780"/>
        <v>0</v>
      </c>
      <c r="BF333" s="46">
        <f t="shared" si="1780"/>
        <v>0</v>
      </c>
      <c r="BG333" s="46">
        <f t="shared" si="1780"/>
        <v>0</v>
      </c>
      <c r="BH333" s="46">
        <f t="shared" si="1780"/>
        <v>0</v>
      </c>
      <c r="BI333" s="46">
        <f t="shared" si="1780"/>
        <v>0</v>
      </c>
      <c r="BJ333" s="46">
        <f t="shared" si="1780"/>
        <v>0</v>
      </c>
      <c r="BK333" s="46">
        <f t="shared" si="1780"/>
        <v>0</v>
      </c>
      <c r="BL333" s="46">
        <f t="shared" si="1780"/>
        <v>0</v>
      </c>
      <c r="BM333" s="46">
        <f t="shared" si="1780"/>
        <v>0</v>
      </c>
      <c r="BN333" s="46">
        <f t="shared" si="1780"/>
        <v>0</v>
      </c>
      <c r="BO333" s="46">
        <f t="shared" si="1780"/>
        <v>0</v>
      </c>
      <c r="BP333" s="46">
        <f t="shared" si="1780"/>
        <v>0</v>
      </c>
      <c r="BQ333" s="46">
        <f t="shared" si="1780"/>
        <v>0</v>
      </c>
      <c r="BR333" s="46">
        <f t="shared" si="1780"/>
        <v>0</v>
      </c>
      <c r="BS333" s="46">
        <f t="shared" si="1780"/>
        <v>0</v>
      </c>
      <c r="BT333" s="46">
        <f t="shared" si="1780"/>
        <v>0</v>
      </c>
      <c r="BU333" s="46">
        <f t="shared" si="1780"/>
        <v>0</v>
      </c>
      <c r="BV333" s="46">
        <f t="shared" si="1780"/>
        <v>0</v>
      </c>
      <c r="BW333" s="46">
        <f t="shared" si="1780"/>
        <v>0</v>
      </c>
      <c r="BX333" s="51"/>
      <c r="BY333" s="51"/>
      <c r="BZ333" s="51"/>
      <c r="CA333" s="51"/>
      <c r="CB333" s="51"/>
      <c r="CC333" s="51"/>
      <c r="CD333" s="51"/>
      <c r="CE333" s="51"/>
      <c r="CF333" s="51"/>
      <c r="CG333" s="51"/>
    </row>
    <row r="334" spans="1:85" ht="15.75" customHeight="1">
      <c r="A334" s="68"/>
      <c r="B334" s="103"/>
      <c r="C334" s="68" t="s">
        <v>90</v>
      </c>
      <c r="D334" s="70" t="s">
        <v>91</v>
      </c>
      <c r="E334" s="56">
        <v>3066.13</v>
      </c>
      <c r="F334" s="99">
        <v>0</v>
      </c>
      <c r="G334" s="58">
        <f>E334-F334</f>
        <v>3066.13</v>
      </c>
      <c r="H334" s="99">
        <v>0</v>
      </c>
      <c r="I334" s="59">
        <f t="shared" si="1582"/>
        <v>0</v>
      </c>
      <c r="J334" s="59">
        <f t="shared" si="1583"/>
        <v>0</v>
      </c>
      <c r="K334" s="74">
        <v>0</v>
      </c>
      <c r="L334" s="74">
        <v>0</v>
      </c>
      <c r="M334" s="74">
        <v>0</v>
      </c>
      <c r="N334" s="74">
        <v>0</v>
      </c>
      <c r="O334" s="61">
        <f t="shared" ref="O334:Q334" si="1781">AA334+AD334+AG334+AJ334+AM334+AP334+AS334+AV334+AY334+BB334+BE334+BH334</f>
        <v>0</v>
      </c>
      <c r="P334" s="61">
        <f t="shared" si="1781"/>
        <v>0</v>
      </c>
      <c r="Q334" s="61">
        <f t="shared" si="1781"/>
        <v>0</v>
      </c>
      <c r="R334" s="61">
        <f t="shared" ref="R334:T334" si="1782">IF(BK334=0,SUM(AA334+AD334+AG334+AJ334+AM334+AP334+AS334+AV334+AY334+BB334+BE334+BH334),BK334)</f>
        <v>0</v>
      </c>
      <c r="S334" s="61">
        <f t="shared" si="1782"/>
        <v>0</v>
      </c>
      <c r="T334" s="61">
        <f t="shared" si="1782"/>
        <v>0</v>
      </c>
      <c r="U334" s="63">
        <f>K334-O334</f>
        <v>0</v>
      </c>
      <c r="V334" s="63">
        <f>L334-M334-S334</f>
        <v>0</v>
      </c>
      <c r="W334" s="63">
        <f>N334-Q334</f>
        <v>0</v>
      </c>
      <c r="X334" s="64">
        <f t="shared" ref="X334:Y334" si="1783">IF(O334&gt;0,O334/K334,0)</f>
        <v>0</v>
      </c>
      <c r="Y334" s="64">
        <f t="shared" si="1783"/>
        <v>0</v>
      </c>
      <c r="Z334" s="64">
        <f t="shared" si="1658"/>
        <v>0</v>
      </c>
      <c r="AA334" s="65"/>
      <c r="AB334" s="65"/>
      <c r="AC334" s="65"/>
      <c r="AD334" s="65"/>
      <c r="AE334" s="66"/>
      <c r="AF334" s="66"/>
      <c r="AG334" s="66"/>
      <c r="AH334" s="66"/>
      <c r="AI334" s="65"/>
      <c r="AJ334" s="65"/>
      <c r="AK334" s="65"/>
      <c r="AL334" s="65"/>
      <c r="AM334" s="65"/>
      <c r="AN334" s="65"/>
      <c r="AO334" s="65"/>
      <c r="AP334" s="65"/>
      <c r="AQ334" s="65"/>
      <c r="AR334" s="65"/>
      <c r="AS334" s="65"/>
      <c r="AT334" s="65"/>
      <c r="AU334" s="65"/>
      <c r="AV334" s="65"/>
      <c r="AW334" s="65"/>
      <c r="AX334" s="65"/>
      <c r="AY334" s="65"/>
      <c r="AZ334" s="65"/>
      <c r="BA334" s="65"/>
      <c r="BB334" s="65"/>
      <c r="BC334" s="65"/>
      <c r="BD334" s="65"/>
      <c r="BE334" s="65"/>
      <c r="BF334" s="65"/>
      <c r="BG334" s="65"/>
      <c r="BH334" s="65"/>
      <c r="BI334" s="65"/>
      <c r="BJ334" s="65"/>
      <c r="BK334" s="65">
        <v>0</v>
      </c>
      <c r="BL334" s="65">
        <v>0</v>
      </c>
      <c r="BM334" s="65">
        <v>0</v>
      </c>
      <c r="BN334" s="65">
        <f>IF(O334-BK334&gt;0,O334-BK334,0)</f>
        <v>0</v>
      </c>
      <c r="BO334" s="67">
        <f>IF(Q334-BM334&gt;0,Q334-BM334,0)</f>
        <v>0</v>
      </c>
      <c r="BP334" s="65">
        <f>IF(BN334+BO334&gt;0,BN334+BO334,0)</f>
        <v>0</v>
      </c>
      <c r="BQ334" s="65">
        <f>IF(U334=0,0,U334)</f>
        <v>0</v>
      </c>
      <c r="BR334" s="65">
        <f>IF(W334=0,0,W334)</f>
        <v>0</v>
      </c>
      <c r="BS334" s="65">
        <f>IF(BQ334+BR334&gt;0,BQ334+BR334,0)</f>
        <v>0</v>
      </c>
      <c r="BT334" s="65">
        <f>IF(V334&gt;0,V334,0)</f>
        <v>0</v>
      </c>
      <c r="BU334" s="65">
        <f>IF(BP334=0,0,BP334)</f>
        <v>0</v>
      </c>
      <c r="BV334" s="65">
        <f>IF(BS334=0,0,BS334)</f>
        <v>0</v>
      </c>
      <c r="BW334" s="65">
        <f>IF(BP334+BT334+BV334&gt;0,BP334+BT334+BV334,0)</f>
        <v>0</v>
      </c>
      <c r="BX334" s="6"/>
      <c r="BY334" s="6"/>
      <c r="BZ334" s="6"/>
      <c r="CA334" s="6"/>
      <c r="CB334" s="6"/>
      <c r="CC334" s="6"/>
      <c r="CD334" s="6"/>
      <c r="CE334" s="6"/>
      <c r="CF334" s="6"/>
      <c r="CG334" s="6"/>
    </row>
    <row r="335" spans="1:85" ht="15.75" customHeight="1">
      <c r="A335" s="260"/>
      <c r="B335" s="261"/>
      <c r="C335" s="262"/>
      <c r="D335" s="78" t="s">
        <v>339</v>
      </c>
      <c r="E335" s="45">
        <f t="shared" ref="E335:H335" si="1784">E336</f>
        <v>7000</v>
      </c>
      <c r="F335" s="46">
        <f t="shared" si="1784"/>
        <v>0</v>
      </c>
      <c r="G335" s="46">
        <f t="shared" si="1784"/>
        <v>7000</v>
      </c>
      <c r="H335" s="46">
        <f t="shared" si="1784"/>
        <v>0</v>
      </c>
      <c r="I335" s="47">
        <f t="shared" si="1582"/>
        <v>0</v>
      </c>
      <c r="J335" s="47">
        <f t="shared" si="1583"/>
        <v>0</v>
      </c>
      <c r="K335" s="46">
        <f t="shared" ref="K335:W335" si="1785">K336</f>
        <v>0</v>
      </c>
      <c r="L335" s="46">
        <f t="shared" si="1785"/>
        <v>0</v>
      </c>
      <c r="M335" s="46">
        <f t="shared" si="1785"/>
        <v>0</v>
      </c>
      <c r="N335" s="46">
        <f t="shared" si="1785"/>
        <v>0</v>
      </c>
      <c r="O335" s="46">
        <f t="shared" si="1785"/>
        <v>0</v>
      </c>
      <c r="P335" s="46">
        <f t="shared" si="1785"/>
        <v>0</v>
      </c>
      <c r="Q335" s="46">
        <f t="shared" si="1785"/>
        <v>0</v>
      </c>
      <c r="R335" s="46">
        <f t="shared" si="1785"/>
        <v>0</v>
      </c>
      <c r="S335" s="46">
        <f t="shared" si="1785"/>
        <v>0</v>
      </c>
      <c r="T335" s="46">
        <f t="shared" si="1785"/>
        <v>0</v>
      </c>
      <c r="U335" s="46">
        <f t="shared" si="1785"/>
        <v>0</v>
      </c>
      <c r="V335" s="46">
        <f t="shared" si="1785"/>
        <v>0</v>
      </c>
      <c r="W335" s="46">
        <f t="shared" si="1785"/>
        <v>0</v>
      </c>
      <c r="X335" s="50">
        <f t="shared" ref="X335:Y335" si="1786">IF(O335&gt;0,O335/K335,0)</f>
        <v>0</v>
      </c>
      <c r="Y335" s="50">
        <f t="shared" si="1786"/>
        <v>0</v>
      </c>
      <c r="Z335" s="50">
        <f t="shared" si="1658"/>
        <v>0</v>
      </c>
      <c r="AA335" s="46">
        <f t="shared" ref="AA335:BW335" si="1787">AA336</f>
        <v>0</v>
      </c>
      <c r="AB335" s="46">
        <f t="shared" si="1787"/>
        <v>0</v>
      </c>
      <c r="AC335" s="46">
        <f t="shared" si="1787"/>
        <v>0</v>
      </c>
      <c r="AD335" s="46">
        <f t="shared" si="1787"/>
        <v>0</v>
      </c>
      <c r="AE335" s="46">
        <f t="shared" si="1787"/>
        <v>0</v>
      </c>
      <c r="AF335" s="46">
        <f t="shared" si="1787"/>
        <v>0</v>
      </c>
      <c r="AG335" s="46">
        <f t="shared" si="1787"/>
        <v>0</v>
      </c>
      <c r="AH335" s="46">
        <f t="shared" si="1787"/>
        <v>0</v>
      </c>
      <c r="AI335" s="46">
        <f t="shared" si="1787"/>
        <v>0</v>
      </c>
      <c r="AJ335" s="46">
        <f t="shared" si="1787"/>
        <v>0</v>
      </c>
      <c r="AK335" s="46">
        <f t="shared" si="1787"/>
        <v>0</v>
      </c>
      <c r="AL335" s="46">
        <f t="shared" si="1787"/>
        <v>0</v>
      </c>
      <c r="AM335" s="46">
        <f t="shared" si="1787"/>
        <v>0</v>
      </c>
      <c r="AN335" s="46">
        <f t="shared" si="1787"/>
        <v>0</v>
      </c>
      <c r="AO335" s="46">
        <f t="shared" si="1787"/>
        <v>0</v>
      </c>
      <c r="AP335" s="46">
        <f t="shared" si="1787"/>
        <v>0</v>
      </c>
      <c r="AQ335" s="46">
        <f t="shared" si="1787"/>
        <v>0</v>
      </c>
      <c r="AR335" s="46">
        <f t="shared" si="1787"/>
        <v>0</v>
      </c>
      <c r="AS335" s="46">
        <f t="shared" si="1787"/>
        <v>0</v>
      </c>
      <c r="AT335" s="46">
        <f t="shared" si="1787"/>
        <v>0</v>
      </c>
      <c r="AU335" s="46">
        <f t="shared" si="1787"/>
        <v>0</v>
      </c>
      <c r="AV335" s="46">
        <f t="shared" si="1787"/>
        <v>0</v>
      </c>
      <c r="AW335" s="46">
        <f t="shared" si="1787"/>
        <v>0</v>
      </c>
      <c r="AX335" s="46">
        <f t="shared" si="1787"/>
        <v>0</v>
      </c>
      <c r="AY335" s="46">
        <f t="shared" si="1787"/>
        <v>0</v>
      </c>
      <c r="AZ335" s="46">
        <f t="shared" si="1787"/>
        <v>0</v>
      </c>
      <c r="BA335" s="46">
        <f t="shared" si="1787"/>
        <v>0</v>
      </c>
      <c r="BB335" s="46">
        <f t="shared" si="1787"/>
        <v>0</v>
      </c>
      <c r="BC335" s="46">
        <f t="shared" si="1787"/>
        <v>0</v>
      </c>
      <c r="BD335" s="46">
        <f t="shared" si="1787"/>
        <v>0</v>
      </c>
      <c r="BE335" s="46">
        <f t="shared" si="1787"/>
        <v>0</v>
      </c>
      <c r="BF335" s="46">
        <f t="shared" si="1787"/>
        <v>0</v>
      </c>
      <c r="BG335" s="46">
        <f t="shared" si="1787"/>
        <v>0</v>
      </c>
      <c r="BH335" s="46">
        <f t="shared" si="1787"/>
        <v>0</v>
      </c>
      <c r="BI335" s="46">
        <f t="shared" si="1787"/>
        <v>0</v>
      </c>
      <c r="BJ335" s="46">
        <f t="shared" si="1787"/>
        <v>0</v>
      </c>
      <c r="BK335" s="46">
        <f t="shared" si="1787"/>
        <v>0</v>
      </c>
      <c r="BL335" s="46">
        <f t="shared" si="1787"/>
        <v>0</v>
      </c>
      <c r="BM335" s="46">
        <f t="shared" si="1787"/>
        <v>0</v>
      </c>
      <c r="BN335" s="46">
        <f t="shared" si="1787"/>
        <v>0</v>
      </c>
      <c r="BO335" s="46">
        <f t="shared" si="1787"/>
        <v>0</v>
      </c>
      <c r="BP335" s="46">
        <f t="shared" si="1787"/>
        <v>0</v>
      </c>
      <c r="BQ335" s="46">
        <f t="shared" si="1787"/>
        <v>0</v>
      </c>
      <c r="BR335" s="46">
        <f t="shared" si="1787"/>
        <v>0</v>
      </c>
      <c r="BS335" s="46">
        <f t="shared" si="1787"/>
        <v>0</v>
      </c>
      <c r="BT335" s="46">
        <f t="shared" si="1787"/>
        <v>0</v>
      </c>
      <c r="BU335" s="46">
        <f t="shared" si="1787"/>
        <v>0</v>
      </c>
      <c r="BV335" s="46">
        <f t="shared" si="1787"/>
        <v>0</v>
      </c>
      <c r="BW335" s="46">
        <f t="shared" si="1787"/>
        <v>0</v>
      </c>
      <c r="BX335" s="6"/>
      <c r="BY335" s="6"/>
      <c r="BZ335" s="6"/>
      <c r="CA335" s="6"/>
      <c r="CB335" s="6"/>
      <c r="CC335" s="6"/>
      <c r="CD335" s="6"/>
      <c r="CE335" s="6"/>
      <c r="CF335" s="6"/>
      <c r="CG335" s="6"/>
    </row>
    <row r="336" spans="1:85" ht="15.75" customHeight="1">
      <c r="A336" s="68"/>
      <c r="B336" s="103"/>
      <c r="C336" s="68" t="s">
        <v>340</v>
      </c>
      <c r="D336" s="171" t="s">
        <v>341</v>
      </c>
      <c r="E336" s="56">
        <v>7000</v>
      </c>
      <c r="F336" s="99">
        <v>0</v>
      </c>
      <c r="G336" s="58">
        <f>E336-F336</f>
        <v>7000</v>
      </c>
      <c r="H336" s="99">
        <v>0</v>
      </c>
      <c r="I336" s="59">
        <f t="shared" si="1582"/>
        <v>0</v>
      </c>
      <c r="J336" s="59">
        <f t="shared" si="1583"/>
        <v>0</v>
      </c>
      <c r="K336" s="74">
        <v>0</v>
      </c>
      <c r="L336" s="74">
        <v>0</v>
      </c>
      <c r="M336" s="74">
        <v>0</v>
      </c>
      <c r="N336" s="74">
        <v>0</v>
      </c>
      <c r="O336" s="61">
        <f t="shared" ref="O336:Q336" si="1788">AA336+AD336+AG336+AJ336+AM336+AP336+AS336+AV336+AY336+BB336+BE336+BH336</f>
        <v>0</v>
      </c>
      <c r="P336" s="61">
        <f t="shared" si="1788"/>
        <v>0</v>
      </c>
      <c r="Q336" s="61">
        <f t="shared" si="1788"/>
        <v>0</v>
      </c>
      <c r="R336" s="61">
        <f t="shared" ref="R336:T336" si="1789">IF(BK336=0,SUM(AA336+AD336+AG336+AJ336+AM336+AP336+AS336+AV336+AY336+BB336+BE336+BH336),BK336)</f>
        <v>0</v>
      </c>
      <c r="S336" s="61">
        <f t="shared" si="1789"/>
        <v>0</v>
      </c>
      <c r="T336" s="61">
        <f t="shared" si="1789"/>
        <v>0</v>
      </c>
      <c r="U336" s="63">
        <f>K336-O336</f>
        <v>0</v>
      </c>
      <c r="V336" s="63">
        <f>L336-M336-S336</f>
        <v>0</v>
      </c>
      <c r="W336" s="63">
        <f>N336-Q336</f>
        <v>0</v>
      </c>
      <c r="X336" s="64">
        <f t="shared" ref="X336:Y336" si="1790">IF(O336&gt;0,O336/K336,0)</f>
        <v>0</v>
      </c>
      <c r="Y336" s="64">
        <f t="shared" si="1790"/>
        <v>0</v>
      </c>
      <c r="Z336" s="64">
        <f t="shared" si="1658"/>
        <v>0</v>
      </c>
      <c r="AA336" s="65"/>
      <c r="AB336" s="65"/>
      <c r="AC336" s="65"/>
      <c r="AD336" s="65"/>
      <c r="AE336" s="66"/>
      <c r="AF336" s="66"/>
      <c r="AG336" s="66"/>
      <c r="AH336" s="66"/>
      <c r="AI336" s="65"/>
      <c r="AJ336" s="65"/>
      <c r="AK336" s="65"/>
      <c r="AL336" s="65"/>
      <c r="AM336" s="65"/>
      <c r="AN336" s="65"/>
      <c r="AO336" s="65"/>
      <c r="AP336" s="65"/>
      <c r="AQ336" s="65"/>
      <c r="AR336" s="65"/>
      <c r="AS336" s="65"/>
      <c r="AT336" s="65"/>
      <c r="AU336" s="65"/>
      <c r="AV336" s="65"/>
      <c r="AW336" s="65"/>
      <c r="AX336" s="65"/>
      <c r="AY336" s="65"/>
      <c r="AZ336" s="65"/>
      <c r="BA336" s="65"/>
      <c r="BB336" s="65"/>
      <c r="BC336" s="65"/>
      <c r="BD336" s="65"/>
      <c r="BE336" s="65"/>
      <c r="BF336" s="65"/>
      <c r="BG336" s="65"/>
      <c r="BH336" s="65"/>
      <c r="BI336" s="65"/>
      <c r="BJ336" s="65"/>
      <c r="BK336" s="65">
        <v>0</v>
      </c>
      <c r="BL336" s="65">
        <v>0</v>
      </c>
      <c r="BM336" s="65">
        <v>0</v>
      </c>
      <c r="BN336" s="65">
        <f>IF(O336-BK336&gt;0,O336-BK336,0)</f>
        <v>0</v>
      </c>
      <c r="BO336" s="67">
        <f>IF(Q336-BM336&gt;0,Q336-BM336,0)</f>
        <v>0</v>
      </c>
      <c r="BP336" s="65">
        <f>IF(BN336+BO336&gt;0,BN336+BO336,0)</f>
        <v>0</v>
      </c>
      <c r="BQ336" s="65">
        <f>IF(U336=0,0,U336)</f>
        <v>0</v>
      </c>
      <c r="BR336" s="65">
        <f>IF(W336=0,0,W336)</f>
        <v>0</v>
      </c>
      <c r="BS336" s="65">
        <f>IF(BQ336+BR336&gt;0,BQ336+BR336,0)</f>
        <v>0</v>
      </c>
      <c r="BT336" s="65">
        <f>IF(V336&gt;0,V336,0)</f>
        <v>0</v>
      </c>
      <c r="BU336" s="65">
        <f>IF(BP336=0,0,BP336)</f>
        <v>0</v>
      </c>
      <c r="BV336" s="65">
        <f>IF(BS336=0,0,BS336)</f>
        <v>0</v>
      </c>
      <c r="BW336" s="65">
        <f>IF(BP336+BT336+BV336&gt;0,BP336+BT336+BV336,0)</f>
        <v>0</v>
      </c>
      <c r="BX336" s="6"/>
      <c r="BY336" s="6"/>
      <c r="BZ336" s="6"/>
      <c r="CA336" s="6"/>
      <c r="CB336" s="6"/>
      <c r="CC336" s="6"/>
      <c r="CD336" s="6"/>
      <c r="CE336" s="6"/>
      <c r="CF336" s="6"/>
      <c r="CG336" s="6"/>
    </row>
    <row r="337" spans="1:85" ht="15.75" customHeight="1">
      <c r="A337" s="260"/>
      <c r="B337" s="261"/>
      <c r="C337" s="262"/>
      <c r="D337" s="78" t="s">
        <v>247</v>
      </c>
      <c r="E337" s="45">
        <f t="shared" ref="E337:H337" si="1791">E338</f>
        <v>1400</v>
      </c>
      <c r="F337" s="46">
        <f t="shared" si="1791"/>
        <v>0</v>
      </c>
      <c r="G337" s="46">
        <f t="shared" si="1791"/>
        <v>1400</v>
      </c>
      <c r="H337" s="46">
        <f t="shared" si="1791"/>
        <v>0</v>
      </c>
      <c r="I337" s="47">
        <f t="shared" si="1582"/>
        <v>0</v>
      </c>
      <c r="J337" s="47">
        <f t="shared" si="1583"/>
        <v>0</v>
      </c>
      <c r="K337" s="46">
        <f t="shared" ref="K337:W337" si="1792">K338</f>
        <v>0</v>
      </c>
      <c r="L337" s="46">
        <f t="shared" si="1792"/>
        <v>0</v>
      </c>
      <c r="M337" s="46">
        <f t="shared" si="1792"/>
        <v>0</v>
      </c>
      <c r="N337" s="46">
        <f t="shared" si="1792"/>
        <v>0</v>
      </c>
      <c r="O337" s="46">
        <f t="shared" si="1792"/>
        <v>0</v>
      </c>
      <c r="P337" s="46">
        <f t="shared" si="1792"/>
        <v>0</v>
      </c>
      <c r="Q337" s="46">
        <f t="shared" si="1792"/>
        <v>0</v>
      </c>
      <c r="R337" s="46">
        <f t="shared" si="1792"/>
        <v>0</v>
      </c>
      <c r="S337" s="46">
        <f t="shared" si="1792"/>
        <v>0</v>
      </c>
      <c r="T337" s="46">
        <f t="shared" si="1792"/>
        <v>0</v>
      </c>
      <c r="U337" s="46">
        <f t="shared" si="1792"/>
        <v>0</v>
      </c>
      <c r="V337" s="46">
        <f t="shared" si="1792"/>
        <v>0</v>
      </c>
      <c r="W337" s="46">
        <f t="shared" si="1792"/>
        <v>0</v>
      </c>
      <c r="X337" s="50">
        <f t="shared" ref="X337:Y337" si="1793">IF(O337&gt;0,O337/K337,0)</f>
        <v>0</v>
      </c>
      <c r="Y337" s="50">
        <f t="shared" si="1793"/>
        <v>0</v>
      </c>
      <c r="Z337" s="50">
        <f t="shared" si="1658"/>
        <v>0</v>
      </c>
      <c r="AA337" s="46">
        <f t="shared" ref="AA337:BW337" si="1794">AA338</f>
        <v>0</v>
      </c>
      <c r="AB337" s="46">
        <f t="shared" si="1794"/>
        <v>0</v>
      </c>
      <c r="AC337" s="46">
        <f t="shared" si="1794"/>
        <v>0</v>
      </c>
      <c r="AD337" s="46">
        <f t="shared" si="1794"/>
        <v>0</v>
      </c>
      <c r="AE337" s="46">
        <f t="shared" si="1794"/>
        <v>0</v>
      </c>
      <c r="AF337" s="46">
        <f t="shared" si="1794"/>
        <v>0</v>
      </c>
      <c r="AG337" s="46">
        <f t="shared" si="1794"/>
        <v>0</v>
      </c>
      <c r="AH337" s="46">
        <f t="shared" si="1794"/>
        <v>0</v>
      </c>
      <c r="AI337" s="46">
        <f t="shared" si="1794"/>
        <v>0</v>
      </c>
      <c r="AJ337" s="46">
        <f t="shared" si="1794"/>
        <v>0</v>
      </c>
      <c r="AK337" s="46">
        <f t="shared" si="1794"/>
        <v>0</v>
      </c>
      <c r="AL337" s="46">
        <f t="shared" si="1794"/>
        <v>0</v>
      </c>
      <c r="AM337" s="46">
        <f t="shared" si="1794"/>
        <v>0</v>
      </c>
      <c r="AN337" s="46">
        <f t="shared" si="1794"/>
        <v>0</v>
      </c>
      <c r="AO337" s="46">
        <f t="shared" si="1794"/>
        <v>0</v>
      </c>
      <c r="AP337" s="46">
        <f t="shared" si="1794"/>
        <v>0</v>
      </c>
      <c r="AQ337" s="46">
        <f t="shared" si="1794"/>
        <v>0</v>
      </c>
      <c r="AR337" s="46">
        <f t="shared" si="1794"/>
        <v>0</v>
      </c>
      <c r="AS337" s="46">
        <f t="shared" si="1794"/>
        <v>0</v>
      </c>
      <c r="AT337" s="46">
        <f t="shared" si="1794"/>
        <v>0</v>
      </c>
      <c r="AU337" s="46">
        <f t="shared" si="1794"/>
        <v>0</v>
      </c>
      <c r="AV337" s="46">
        <f t="shared" si="1794"/>
        <v>0</v>
      </c>
      <c r="AW337" s="46">
        <f t="shared" si="1794"/>
        <v>0</v>
      </c>
      <c r="AX337" s="46">
        <f t="shared" si="1794"/>
        <v>0</v>
      </c>
      <c r="AY337" s="46">
        <f t="shared" si="1794"/>
        <v>0</v>
      </c>
      <c r="AZ337" s="46">
        <f t="shared" si="1794"/>
        <v>0</v>
      </c>
      <c r="BA337" s="46">
        <f t="shared" si="1794"/>
        <v>0</v>
      </c>
      <c r="BB337" s="46">
        <f t="shared" si="1794"/>
        <v>0</v>
      </c>
      <c r="BC337" s="46">
        <f t="shared" si="1794"/>
        <v>0</v>
      </c>
      <c r="BD337" s="46">
        <f t="shared" si="1794"/>
        <v>0</v>
      </c>
      <c r="BE337" s="46">
        <f t="shared" si="1794"/>
        <v>0</v>
      </c>
      <c r="BF337" s="46">
        <f t="shared" si="1794"/>
        <v>0</v>
      </c>
      <c r="BG337" s="46">
        <f t="shared" si="1794"/>
        <v>0</v>
      </c>
      <c r="BH337" s="46">
        <f t="shared" si="1794"/>
        <v>0</v>
      </c>
      <c r="BI337" s="46">
        <f t="shared" si="1794"/>
        <v>0</v>
      </c>
      <c r="BJ337" s="46">
        <f t="shared" si="1794"/>
        <v>0</v>
      </c>
      <c r="BK337" s="46">
        <f t="shared" si="1794"/>
        <v>0</v>
      </c>
      <c r="BL337" s="46">
        <f t="shared" si="1794"/>
        <v>0</v>
      </c>
      <c r="BM337" s="46">
        <f t="shared" si="1794"/>
        <v>0</v>
      </c>
      <c r="BN337" s="46">
        <f t="shared" si="1794"/>
        <v>0</v>
      </c>
      <c r="BO337" s="46">
        <f t="shared" si="1794"/>
        <v>0</v>
      </c>
      <c r="BP337" s="46">
        <f t="shared" si="1794"/>
        <v>0</v>
      </c>
      <c r="BQ337" s="46">
        <f t="shared" si="1794"/>
        <v>0</v>
      </c>
      <c r="BR337" s="46">
        <f t="shared" si="1794"/>
        <v>0</v>
      </c>
      <c r="BS337" s="46">
        <f t="shared" si="1794"/>
        <v>0</v>
      </c>
      <c r="BT337" s="46">
        <f t="shared" si="1794"/>
        <v>0</v>
      </c>
      <c r="BU337" s="46">
        <f t="shared" si="1794"/>
        <v>0</v>
      </c>
      <c r="BV337" s="46">
        <f t="shared" si="1794"/>
        <v>0</v>
      </c>
      <c r="BW337" s="46">
        <f t="shared" si="1794"/>
        <v>0</v>
      </c>
      <c r="BX337" s="6"/>
      <c r="BY337" s="6"/>
      <c r="BZ337" s="6"/>
      <c r="CA337" s="6"/>
      <c r="CB337" s="6"/>
      <c r="CC337" s="6"/>
      <c r="CD337" s="6"/>
      <c r="CE337" s="6"/>
      <c r="CF337" s="6"/>
      <c r="CG337" s="6"/>
    </row>
    <row r="338" spans="1:85" ht="15.75" customHeight="1">
      <c r="A338" s="71"/>
      <c r="B338" s="72"/>
      <c r="C338" s="71" t="s">
        <v>342</v>
      </c>
      <c r="D338" s="198" t="s">
        <v>479</v>
      </c>
      <c r="E338" s="56">
        <v>1400</v>
      </c>
      <c r="F338" s="99">
        <v>0</v>
      </c>
      <c r="G338" s="58">
        <f>E338-F338</f>
        <v>1400</v>
      </c>
      <c r="H338" s="99">
        <v>0</v>
      </c>
      <c r="I338" s="59">
        <f t="shared" si="1582"/>
        <v>0</v>
      </c>
      <c r="J338" s="59">
        <f t="shared" si="1583"/>
        <v>0</v>
      </c>
      <c r="K338" s="74">
        <v>0</v>
      </c>
      <c r="L338" s="74">
        <v>0</v>
      </c>
      <c r="M338" s="74">
        <v>0</v>
      </c>
      <c r="N338" s="74">
        <v>0</v>
      </c>
      <c r="O338" s="61">
        <f t="shared" ref="O338:Q338" si="1795">AA338+AD338+AG338+AJ338+AM338+AP338+AS338+AV338+AY338+BB338+BE338+BH338</f>
        <v>0</v>
      </c>
      <c r="P338" s="61">
        <f t="shared" si="1795"/>
        <v>0</v>
      </c>
      <c r="Q338" s="61">
        <f t="shared" si="1795"/>
        <v>0</v>
      </c>
      <c r="R338" s="61">
        <f t="shared" ref="R338:T338" si="1796">IF(BK338=0,SUM(AA338+AD338+AG338+AJ338+AM338+AP338+AS338+AV338+AY338+BB338+BE338+BH338),BK338)</f>
        <v>0</v>
      </c>
      <c r="S338" s="61">
        <f t="shared" si="1796"/>
        <v>0</v>
      </c>
      <c r="T338" s="61">
        <f t="shared" si="1796"/>
        <v>0</v>
      </c>
      <c r="U338" s="63">
        <f>K338-O338</f>
        <v>0</v>
      </c>
      <c r="V338" s="63">
        <f>L338-M338-S338</f>
        <v>0</v>
      </c>
      <c r="W338" s="63">
        <f>N338-Q338</f>
        <v>0</v>
      </c>
      <c r="X338" s="64">
        <f t="shared" ref="X338:Y338" si="1797">IF(O338&gt;0,O338/K338,0)</f>
        <v>0</v>
      </c>
      <c r="Y338" s="64">
        <f t="shared" si="1797"/>
        <v>0</v>
      </c>
      <c r="Z338" s="64">
        <f t="shared" si="1658"/>
        <v>0</v>
      </c>
      <c r="AA338" s="65"/>
      <c r="AB338" s="65"/>
      <c r="AC338" s="65"/>
      <c r="AD338" s="65"/>
      <c r="AE338" s="66"/>
      <c r="AF338" s="66"/>
      <c r="AG338" s="66"/>
      <c r="AH338" s="66"/>
      <c r="AI338" s="65"/>
      <c r="AJ338" s="65"/>
      <c r="AK338" s="65"/>
      <c r="AL338" s="65"/>
      <c r="AM338" s="65"/>
      <c r="AN338" s="65"/>
      <c r="AO338" s="65"/>
      <c r="AP338" s="65"/>
      <c r="AQ338" s="65"/>
      <c r="AR338" s="65"/>
      <c r="AS338" s="65"/>
      <c r="AT338" s="65"/>
      <c r="AU338" s="65"/>
      <c r="AV338" s="65"/>
      <c r="AW338" s="65"/>
      <c r="AX338" s="65"/>
      <c r="AY338" s="65"/>
      <c r="AZ338" s="65"/>
      <c r="BA338" s="65"/>
      <c r="BB338" s="65"/>
      <c r="BC338" s="65"/>
      <c r="BD338" s="65"/>
      <c r="BE338" s="65"/>
      <c r="BF338" s="65"/>
      <c r="BG338" s="65"/>
      <c r="BH338" s="65"/>
      <c r="BI338" s="65"/>
      <c r="BJ338" s="65"/>
      <c r="BK338" s="65">
        <v>0</v>
      </c>
      <c r="BL338" s="65">
        <v>0</v>
      </c>
      <c r="BM338" s="65">
        <v>0</v>
      </c>
      <c r="BN338" s="65">
        <f>IF(O338-BK338&gt;0,O338-BK338,0)</f>
        <v>0</v>
      </c>
      <c r="BO338" s="67">
        <f>IF(Q338-BM338&gt;0,Q338-BM338,0)</f>
        <v>0</v>
      </c>
      <c r="BP338" s="65">
        <f>IF(BN338+BO338&gt;0,BN338+BO338,0)</f>
        <v>0</v>
      </c>
      <c r="BQ338" s="65">
        <f>IF(U338=0,0,U338)</f>
        <v>0</v>
      </c>
      <c r="BR338" s="65">
        <f>IF(W338=0,0,W338)</f>
        <v>0</v>
      </c>
      <c r="BS338" s="65">
        <f>IF(BQ338+BR338&gt;0,BQ338+BR338,0)</f>
        <v>0</v>
      </c>
      <c r="BT338" s="65">
        <f>IF(V338&gt;0,V338,0)</f>
        <v>0</v>
      </c>
      <c r="BU338" s="65">
        <f>IF(BP338=0,0,BP338)</f>
        <v>0</v>
      </c>
      <c r="BV338" s="65">
        <f>IF(BS338=0,0,BS338)</f>
        <v>0</v>
      </c>
      <c r="BW338" s="65">
        <f>IF(BP338+BT338+BV338&gt;0,BP338+BT338+BV338,0)</f>
        <v>0</v>
      </c>
      <c r="BX338" s="6"/>
      <c r="BY338" s="6"/>
      <c r="BZ338" s="6"/>
      <c r="CA338" s="6"/>
      <c r="CB338" s="6"/>
      <c r="CC338" s="6"/>
      <c r="CD338" s="6"/>
      <c r="CE338" s="6"/>
      <c r="CF338" s="6"/>
      <c r="CG338" s="6"/>
    </row>
    <row r="339" spans="1:85" ht="15.75" customHeight="1">
      <c r="A339" s="325"/>
      <c r="B339" s="326"/>
      <c r="C339" s="327"/>
      <c r="D339" s="328" t="s">
        <v>480</v>
      </c>
      <c r="E339" s="329">
        <f t="shared" ref="E339:H339" si="1798">E340+E343+E345+E347</f>
        <v>19403.95</v>
      </c>
      <c r="F339" s="329">
        <f t="shared" si="1798"/>
        <v>0</v>
      </c>
      <c r="G339" s="329">
        <f t="shared" si="1798"/>
        <v>19403.95</v>
      </c>
      <c r="H339" s="329">
        <f t="shared" si="1798"/>
        <v>0</v>
      </c>
      <c r="I339" s="330">
        <f t="shared" si="1582"/>
        <v>5.1535898618580232E-2</v>
      </c>
      <c r="J339" s="330">
        <f t="shared" si="1583"/>
        <v>0</v>
      </c>
      <c r="K339" s="329">
        <f t="shared" ref="K339:W339" si="1799">K340+K343+K345+K347</f>
        <v>1000</v>
      </c>
      <c r="L339" s="329">
        <f t="shared" si="1799"/>
        <v>0</v>
      </c>
      <c r="M339" s="329">
        <f t="shared" si="1799"/>
        <v>0</v>
      </c>
      <c r="N339" s="329">
        <f t="shared" si="1799"/>
        <v>0</v>
      </c>
      <c r="O339" s="329">
        <f t="shared" si="1799"/>
        <v>0</v>
      </c>
      <c r="P339" s="329">
        <f t="shared" si="1799"/>
        <v>0</v>
      </c>
      <c r="Q339" s="329">
        <f t="shared" si="1799"/>
        <v>0</v>
      </c>
      <c r="R339" s="329">
        <f t="shared" si="1799"/>
        <v>0</v>
      </c>
      <c r="S339" s="329">
        <f t="shared" si="1799"/>
        <v>0</v>
      </c>
      <c r="T339" s="329">
        <f t="shared" si="1799"/>
        <v>0</v>
      </c>
      <c r="U339" s="329">
        <f t="shared" si="1799"/>
        <v>1000</v>
      </c>
      <c r="V339" s="329">
        <f t="shared" si="1799"/>
        <v>0</v>
      </c>
      <c r="W339" s="329">
        <f t="shared" si="1799"/>
        <v>0</v>
      </c>
      <c r="X339" s="331">
        <f t="shared" ref="X339:Y339" si="1800">IF(O339&gt;0,O339/K339,0)</f>
        <v>0</v>
      </c>
      <c r="Y339" s="331">
        <f t="shared" si="1800"/>
        <v>0</v>
      </c>
      <c r="Z339" s="331">
        <f t="shared" si="1658"/>
        <v>0</v>
      </c>
      <c r="AA339" s="329">
        <f t="shared" ref="AA339:BW339" si="1801">AA340+AA343+AA345+AA347</f>
        <v>0</v>
      </c>
      <c r="AB339" s="329">
        <f t="shared" si="1801"/>
        <v>0</v>
      </c>
      <c r="AC339" s="329">
        <f t="shared" si="1801"/>
        <v>0</v>
      </c>
      <c r="AD339" s="329">
        <f t="shared" si="1801"/>
        <v>0</v>
      </c>
      <c r="AE339" s="329">
        <f t="shared" si="1801"/>
        <v>0</v>
      </c>
      <c r="AF339" s="329">
        <f t="shared" si="1801"/>
        <v>0</v>
      </c>
      <c r="AG339" s="329">
        <f t="shared" si="1801"/>
        <v>0</v>
      </c>
      <c r="AH339" s="329">
        <f t="shared" si="1801"/>
        <v>0</v>
      </c>
      <c r="AI339" s="329">
        <f t="shared" si="1801"/>
        <v>0</v>
      </c>
      <c r="AJ339" s="329">
        <f t="shared" si="1801"/>
        <v>0</v>
      </c>
      <c r="AK339" s="329">
        <f t="shared" si="1801"/>
        <v>0</v>
      </c>
      <c r="AL339" s="329">
        <f t="shared" si="1801"/>
        <v>0</v>
      </c>
      <c r="AM339" s="329">
        <f t="shared" si="1801"/>
        <v>0</v>
      </c>
      <c r="AN339" s="329">
        <f t="shared" si="1801"/>
        <v>0</v>
      </c>
      <c r="AO339" s="329">
        <f t="shared" si="1801"/>
        <v>0</v>
      </c>
      <c r="AP339" s="329">
        <f t="shared" si="1801"/>
        <v>0</v>
      </c>
      <c r="AQ339" s="329">
        <f t="shared" si="1801"/>
        <v>0</v>
      </c>
      <c r="AR339" s="329">
        <f t="shared" si="1801"/>
        <v>0</v>
      </c>
      <c r="AS339" s="329">
        <f t="shared" si="1801"/>
        <v>0</v>
      </c>
      <c r="AT339" s="329">
        <f t="shared" si="1801"/>
        <v>0</v>
      </c>
      <c r="AU339" s="329">
        <f t="shared" si="1801"/>
        <v>0</v>
      </c>
      <c r="AV339" s="329">
        <f t="shared" si="1801"/>
        <v>0</v>
      </c>
      <c r="AW339" s="329">
        <f t="shared" si="1801"/>
        <v>0</v>
      </c>
      <c r="AX339" s="329">
        <f t="shared" si="1801"/>
        <v>0</v>
      </c>
      <c r="AY339" s="329">
        <f t="shared" si="1801"/>
        <v>0</v>
      </c>
      <c r="AZ339" s="329">
        <f t="shared" si="1801"/>
        <v>0</v>
      </c>
      <c r="BA339" s="329">
        <f t="shared" si="1801"/>
        <v>0</v>
      </c>
      <c r="BB339" s="329">
        <f t="shared" si="1801"/>
        <v>0</v>
      </c>
      <c r="BC339" s="329">
        <f t="shared" si="1801"/>
        <v>0</v>
      </c>
      <c r="BD339" s="329">
        <f t="shared" si="1801"/>
        <v>0</v>
      </c>
      <c r="BE339" s="329">
        <f t="shared" si="1801"/>
        <v>0</v>
      </c>
      <c r="BF339" s="329">
        <f t="shared" si="1801"/>
        <v>0</v>
      </c>
      <c r="BG339" s="329">
        <f t="shared" si="1801"/>
        <v>0</v>
      </c>
      <c r="BH339" s="329">
        <f t="shared" si="1801"/>
        <v>0</v>
      </c>
      <c r="BI339" s="329">
        <f t="shared" si="1801"/>
        <v>0</v>
      </c>
      <c r="BJ339" s="329">
        <f t="shared" si="1801"/>
        <v>0</v>
      </c>
      <c r="BK339" s="329">
        <f t="shared" si="1801"/>
        <v>0</v>
      </c>
      <c r="BL339" s="329">
        <f t="shared" si="1801"/>
        <v>0</v>
      </c>
      <c r="BM339" s="329">
        <f t="shared" si="1801"/>
        <v>0</v>
      </c>
      <c r="BN339" s="329">
        <f t="shared" si="1801"/>
        <v>0</v>
      </c>
      <c r="BO339" s="329">
        <f t="shared" si="1801"/>
        <v>0</v>
      </c>
      <c r="BP339" s="329">
        <f t="shared" si="1801"/>
        <v>0</v>
      </c>
      <c r="BQ339" s="329">
        <f t="shared" si="1801"/>
        <v>1000</v>
      </c>
      <c r="BR339" s="329">
        <f t="shared" si="1801"/>
        <v>0</v>
      </c>
      <c r="BS339" s="329">
        <f t="shared" si="1801"/>
        <v>1000</v>
      </c>
      <c r="BT339" s="329">
        <f t="shared" si="1801"/>
        <v>0</v>
      </c>
      <c r="BU339" s="329">
        <f t="shared" si="1801"/>
        <v>0</v>
      </c>
      <c r="BV339" s="329">
        <f t="shared" si="1801"/>
        <v>1000</v>
      </c>
      <c r="BW339" s="329">
        <f t="shared" si="1801"/>
        <v>1000</v>
      </c>
      <c r="BX339" s="6"/>
      <c r="BY339" s="6"/>
      <c r="BZ339" s="6"/>
      <c r="CA339" s="6"/>
      <c r="CB339" s="6"/>
      <c r="CC339" s="6"/>
      <c r="CD339" s="6"/>
      <c r="CE339" s="6"/>
      <c r="CF339" s="6"/>
      <c r="CG339" s="6"/>
    </row>
    <row r="340" spans="1:85" ht="15.75">
      <c r="A340" s="41"/>
      <c r="B340" s="42"/>
      <c r="C340" s="43"/>
      <c r="D340" s="44" t="s">
        <v>67</v>
      </c>
      <c r="E340" s="45">
        <f t="shared" ref="E340:H340" si="1802">SUM(E341:E342)</f>
        <v>7937.82</v>
      </c>
      <c r="F340" s="46">
        <f t="shared" si="1802"/>
        <v>0</v>
      </c>
      <c r="G340" s="46">
        <f t="shared" si="1802"/>
        <v>7937.82</v>
      </c>
      <c r="H340" s="46">
        <f t="shared" si="1802"/>
        <v>0</v>
      </c>
      <c r="I340" s="47">
        <f t="shared" si="1582"/>
        <v>0.12597917312309928</v>
      </c>
      <c r="J340" s="47">
        <f t="shared" si="1583"/>
        <v>0</v>
      </c>
      <c r="K340" s="46">
        <f t="shared" ref="K340:W340" si="1803">SUM(K341:K342)</f>
        <v>1000</v>
      </c>
      <c r="L340" s="46">
        <f t="shared" si="1803"/>
        <v>0</v>
      </c>
      <c r="M340" s="46">
        <f t="shared" si="1803"/>
        <v>0</v>
      </c>
      <c r="N340" s="46">
        <f t="shared" si="1803"/>
        <v>0</v>
      </c>
      <c r="O340" s="46">
        <f t="shared" si="1803"/>
        <v>0</v>
      </c>
      <c r="P340" s="46">
        <f t="shared" si="1803"/>
        <v>0</v>
      </c>
      <c r="Q340" s="46">
        <f t="shared" si="1803"/>
        <v>0</v>
      </c>
      <c r="R340" s="46">
        <f t="shared" si="1803"/>
        <v>0</v>
      </c>
      <c r="S340" s="46">
        <f t="shared" si="1803"/>
        <v>0</v>
      </c>
      <c r="T340" s="46">
        <f t="shared" si="1803"/>
        <v>0</v>
      </c>
      <c r="U340" s="46">
        <f t="shared" si="1803"/>
        <v>1000</v>
      </c>
      <c r="V340" s="46">
        <f t="shared" si="1803"/>
        <v>0</v>
      </c>
      <c r="W340" s="46">
        <f t="shared" si="1803"/>
        <v>0</v>
      </c>
      <c r="X340" s="50">
        <f t="shared" ref="X340:Y340" si="1804">IF(O340&gt;0,O340/K340,0)</f>
        <v>0</v>
      </c>
      <c r="Y340" s="50">
        <f t="shared" si="1804"/>
        <v>0</v>
      </c>
      <c r="Z340" s="50">
        <f t="shared" si="1658"/>
        <v>0</v>
      </c>
      <c r="AA340" s="46">
        <f t="shared" ref="AA340:BW340" si="1805">SUM(AA341:AA342)</f>
        <v>0</v>
      </c>
      <c r="AB340" s="46">
        <f t="shared" si="1805"/>
        <v>0</v>
      </c>
      <c r="AC340" s="46">
        <f t="shared" si="1805"/>
        <v>0</v>
      </c>
      <c r="AD340" s="46">
        <f t="shared" si="1805"/>
        <v>0</v>
      </c>
      <c r="AE340" s="46">
        <f t="shared" si="1805"/>
        <v>0</v>
      </c>
      <c r="AF340" s="46">
        <f t="shared" si="1805"/>
        <v>0</v>
      </c>
      <c r="AG340" s="46">
        <f t="shared" si="1805"/>
        <v>0</v>
      </c>
      <c r="AH340" s="46">
        <f t="shared" si="1805"/>
        <v>0</v>
      </c>
      <c r="AI340" s="46">
        <f t="shared" si="1805"/>
        <v>0</v>
      </c>
      <c r="AJ340" s="46">
        <f t="shared" si="1805"/>
        <v>0</v>
      </c>
      <c r="AK340" s="46">
        <f t="shared" si="1805"/>
        <v>0</v>
      </c>
      <c r="AL340" s="46">
        <f t="shared" si="1805"/>
        <v>0</v>
      </c>
      <c r="AM340" s="46">
        <f t="shared" si="1805"/>
        <v>0</v>
      </c>
      <c r="AN340" s="46">
        <f t="shared" si="1805"/>
        <v>0</v>
      </c>
      <c r="AO340" s="46">
        <f t="shared" si="1805"/>
        <v>0</v>
      </c>
      <c r="AP340" s="46">
        <f t="shared" si="1805"/>
        <v>0</v>
      </c>
      <c r="AQ340" s="46">
        <f t="shared" si="1805"/>
        <v>0</v>
      </c>
      <c r="AR340" s="46">
        <f t="shared" si="1805"/>
        <v>0</v>
      </c>
      <c r="AS340" s="46">
        <f t="shared" si="1805"/>
        <v>0</v>
      </c>
      <c r="AT340" s="46">
        <f t="shared" si="1805"/>
        <v>0</v>
      </c>
      <c r="AU340" s="46">
        <f t="shared" si="1805"/>
        <v>0</v>
      </c>
      <c r="AV340" s="46">
        <f t="shared" si="1805"/>
        <v>0</v>
      </c>
      <c r="AW340" s="46">
        <f t="shared" si="1805"/>
        <v>0</v>
      </c>
      <c r="AX340" s="46">
        <f t="shared" si="1805"/>
        <v>0</v>
      </c>
      <c r="AY340" s="46">
        <f t="shared" si="1805"/>
        <v>0</v>
      </c>
      <c r="AZ340" s="46">
        <f t="shared" si="1805"/>
        <v>0</v>
      </c>
      <c r="BA340" s="46">
        <f t="shared" si="1805"/>
        <v>0</v>
      </c>
      <c r="BB340" s="46">
        <f t="shared" si="1805"/>
        <v>0</v>
      </c>
      <c r="BC340" s="46">
        <f t="shared" si="1805"/>
        <v>0</v>
      </c>
      <c r="BD340" s="46">
        <f t="shared" si="1805"/>
        <v>0</v>
      </c>
      <c r="BE340" s="46">
        <f t="shared" si="1805"/>
        <v>0</v>
      </c>
      <c r="BF340" s="46">
        <f t="shared" si="1805"/>
        <v>0</v>
      </c>
      <c r="BG340" s="46">
        <f t="shared" si="1805"/>
        <v>0</v>
      </c>
      <c r="BH340" s="46">
        <f t="shared" si="1805"/>
        <v>0</v>
      </c>
      <c r="BI340" s="46">
        <f t="shared" si="1805"/>
        <v>0</v>
      </c>
      <c r="BJ340" s="46">
        <f t="shared" si="1805"/>
        <v>0</v>
      </c>
      <c r="BK340" s="46">
        <f t="shared" si="1805"/>
        <v>0</v>
      </c>
      <c r="BL340" s="46">
        <f t="shared" si="1805"/>
        <v>0</v>
      </c>
      <c r="BM340" s="46">
        <f t="shared" si="1805"/>
        <v>0</v>
      </c>
      <c r="BN340" s="46">
        <f t="shared" si="1805"/>
        <v>0</v>
      </c>
      <c r="BO340" s="46">
        <f t="shared" si="1805"/>
        <v>0</v>
      </c>
      <c r="BP340" s="46">
        <f t="shared" si="1805"/>
        <v>0</v>
      </c>
      <c r="BQ340" s="46">
        <f t="shared" si="1805"/>
        <v>1000</v>
      </c>
      <c r="BR340" s="46">
        <f t="shared" si="1805"/>
        <v>0</v>
      </c>
      <c r="BS340" s="46">
        <f t="shared" si="1805"/>
        <v>1000</v>
      </c>
      <c r="BT340" s="46">
        <f t="shared" si="1805"/>
        <v>0</v>
      </c>
      <c r="BU340" s="46">
        <f t="shared" si="1805"/>
        <v>0</v>
      </c>
      <c r="BV340" s="46">
        <f t="shared" si="1805"/>
        <v>1000</v>
      </c>
      <c r="BW340" s="46">
        <f t="shared" si="1805"/>
        <v>1000</v>
      </c>
      <c r="BX340" s="51"/>
      <c r="BY340" s="51"/>
      <c r="BZ340" s="51"/>
      <c r="CA340" s="51"/>
      <c r="CB340" s="51"/>
      <c r="CC340" s="51"/>
      <c r="CD340" s="51"/>
      <c r="CE340" s="51"/>
      <c r="CF340" s="51"/>
      <c r="CG340" s="51"/>
    </row>
    <row r="341" spans="1:85" ht="15.75" customHeight="1">
      <c r="A341" s="68"/>
      <c r="B341" s="103"/>
      <c r="C341" s="68" t="s">
        <v>69</v>
      </c>
      <c r="D341" s="70" t="s">
        <v>70</v>
      </c>
      <c r="E341" s="56">
        <v>2600</v>
      </c>
      <c r="F341" s="99">
        <v>0</v>
      </c>
      <c r="G341" s="58">
        <f t="shared" ref="G341:G342" si="1806">E341-F341</f>
        <v>2600</v>
      </c>
      <c r="H341" s="99">
        <v>0</v>
      </c>
      <c r="I341" s="59">
        <f t="shared" si="1582"/>
        <v>0</v>
      </c>
      <c r="J341" s="59">
        <f t="shared" si="1583"/>
        <v>0</v>
      </c>
      <c r="K341" s="74">
        <v>0</v>
      </c>
      <c r="L341" s="74">
        <v>0</v>
      </c>
      <c r="M341" s="74">
        <v>0</v>
      </c>
      <c r="N341" s="74">
        <v>0</v>
      </c>
      <c r="O341" s="61">
        <f t="shared" ref="O341:Q341" si="1807">AA341+AD341+AG341+AJ341+AM341+AP341+AS341+AV341+AY341+BB341+BE341+BH341</f>
        <v>0</v>
      </c>
      <c r="P341" s="61">
        <f t="shared" si="1807"/>
        <v>0</v>
      </c>
      <c r="Q341" s="61">
        <f t="shared" si="1807"/>
        <v>0</v>
      </c>
      <c r="R341" s="61">
        <f t="shared" ref="R341:T341" si="1808">IF(BK341=0,SUM(AA341+AD341+AG341+AJ341+AM341+AP341+AS341+AV341+AY341+BB341+BE341+BH341),BK341)</f>
        <v>0</v>
      </c>
      <c r="S341" s="61">
        <f t="shared" si="1808"/>
        <v>0</v>
      </c>
      <c r="T341" s="61">
        <f t="shared" si="1808"/>
        <v>0</v>
      </c>
      <c r="U341" s="63">
        <f t="shared" ref="U341:U342" si="1809">K341-O341</f>
        <v>0</v>
      </c>
      <c r="V341" s="63">
        <f t="shared" ref="V341:V342" si="1810">L341-M341-S341</f>
        <v>0</v>
      </c>
      <c r="W341" s="63">
        <f t="shared" ref="W341:W342" si="1811">N341-Q341</f>
        <v>0</v>
      </c>
      <c r="X341" s="64">
        <f t="shared" ref="X341:Y341" si="1812">IF(O341&gt;0,O341/K341,0)</f>
        <v>0</v>
      </c>
      <c r="Y341" s="64">
        <f t="shared" si="1812"/>
        <v>0</v>
      </c>
      <c r="Z341" s="64">
        <f t="shared" si="1658"/>
        <v>0</v>
      </c>
      <c r="AA341" s="65"/>
      <c r="AB341" s="65"/>
      <c r="AC341" s="65"/>
      <c r="AD341" s="65"/>
      <c r="AE341" s="66"/>
      <c r="AF341" s="66"/>
      <c r="AG341" s="66"/>
      <c r="AH341" s="66"/>
      <c r="AI341" s="65"/>
      <c r="AJ341" s="65"/>
      <c r="AK341" s="65"/>
      <c r="AL341" s="65"/>
      <c r="AM341" s="65"/>
      <c r="AN341" s="65"/>
      <c r="AO341" s="65"/>
      <c r="AP341" s="65"/>
      <c r="AQ341" s="65"/>
      <c r="AR341" s="65"/>
      <c r="AS341" s="65"/>
      <c r="AT341" s="65"/>
      <c r="AU341" s="65"/>
      <c r="AV341" s="65"/>
      <c r="AW341" s="65"/>
      <c r="AX341" s="65"/>
      <c r="AY341" s="65"/>
      <c r="AZ341" s="65"/>
      <c r="BA341" s="65"/>
      <c r="BB341" s="65"/>
      <c r="BC341" s="65"/>
      <c r="BD341" s="65"/>
      <c r="BE341" s="65"/>
      <c r="BF341" s="65"/>
      <c r="BG341" s="65"/>
      <c r="BH341" s="65"/>
      <c r="BI341" s="65"/>
      <c r="BJ341" s="65"/>
      <c r="BK341" s="65">
        <v>0</v>
      </c>
      <c r="BL341" s="65">
        <v>0</v>
      </c>
      <c r="BM341" s="65">
        <v>0</v>
      </c>
      <c r="BN341" s="65">
        <f t="shared" ref="BN341:BN342" si="1813">IF(O341-BK341&gt;0,O341-BK341,0)</f>
        <v>0</v>
      </c>
      <c r="BO341" s="67">
        <f t="shared" ref="BO341:BO342" si="1814">IF(Q341-BM341&gt;0,Q341-BM341,0)</f>
        <v>0</v>
      </c>
      <c r="BP341" s="65">
        <f t="shared" ref="BP341:BP342" si="1815">IF(BN341+BO341&gt;0,BN341+BO341,0)</f>
        <v>0</v>
      </c>
      <c r="BQ341" s="65">
        <f t="shared" ref="BQ341:BQ342" si="1816">IF(U341=0,0,U341)</f>
        <v>0</v>
      </c>
      <c r="BR341" s="65">
        <f t="shared" ref="BR341:BR342" si="1817">IF(W341=0,0,W341)</f>
        <v>0</v>
      </c>
      <c r="BS341" s="65">
        <f t="shared" ref="BS341:BS342" si="1818">IF(BQ341+BR341&gt;0,BQ341+BR341,0)</f>
        <v>0</v>
      </c>
      <c r="BT341" s="65">
        <f t="shared" ref="BT341:BT342" si="1819">IF(V341&gt;0,V341,0)</f>
        <v>0</v>
      </c>
      <c r="BU341" s="65">
        <f t="shared" ref="BU341:BU342" si="1820">IF(BP341=0,0,BP341)</f>
        <v>0</v>
      </c>
      <c r="BV341" s="65">
        <f t="shared" ref="BV341:BV342" si="1821">IF(BS341=0,0,BS341)</f>
        <v>0</v>
      </c>
      <c r="BW341" s="65">
        <f t="shared" ref="BW341:BW342" si="1822">IF(BP341+BT341+BV341&gt;0,BP341+BT341+BV341,0)</f>
        <v>0</v>
      </c>
      <c r="BX341" s="6"/>
      <c r="BY341" s="6"/>
      <c r="BZ341" s="6"/>
      <c r="CA341" s="6"/>
      <c r="CB341" s="6"/>
      <c r="CC341" s="6"/>
      <c r="CD341" s="6"/>
      <c r="CE341" s="6"/>
      <c r="CF341" s="6"/>
      <c r="CG341" s="6"/>
    </row>
    <row r="342" spans="1:85" ht="15.75" customHeight="1">
      <c r="A342" s="104" t="s">
        <v>481</v>
      </c>
      <c r="B342" s="103"/>
      <c r="C342" s="68" t="s">
        <v>73</v>
      </c>
      <c r="D342" s="70" t="s">
        <v>74</v>
      </c>
      <c r="E342" s="56">
        <v>5337.82</v>
      </c>
      <c r="F342" s="99">
        <v>0</v>
      </c>
      <c r="G342" s="58">
        <f t="shared" si="1806"/>
        <v>5337.82</v>
      </c>
      <c r="H342" s="99">
        <v>0</v>
      </c>
      <c r="I342" s="59">
        <f t="shared" si="1582"/>
        <v>0.18734239820750795</v>
      </c>
      <c r="J342" s="59">
        <f t="shared" si="1583"/>
        <v>0</v>
      </c>
      <c r="K342" s="74">
        <f>1000</f>
        <v>1000</v>
      </c>
      <c r="L342" s="74">
        <v>0</v>
      </c>
      <c r="M342" s="74">
        <v>0</v>
      </c>
      <c r="N342" s="74">
        <v>0</v>
      </c>
      <c r="O342" s="61">
        <f t="shared" ref="O342:Q342" si="1823">AA342+AD342+AG342+AJ342+AM342+AP342+AS342+AV342+AY342+BB342+BE342+BH342</f>
        <v>0</v>
      </c>
      <c r="P342" s="61">
        <f t="shared" si="1823"/>
        <v>0</v>
      </c>
      <c r="Q342" s="61">
        <f t="shared" si="1823"/>
        <v>0</v>
      </c>
      <c r="R342" s="61">
        <f t="shared" ref="R342:T342" si="1824">IF(BK342=0,SUM(AA342+AD342+AG342+AJ342+AM342+AP342+AS342+AV342+AY342+BB342+BE342+BH342),BK342)</f>
        <v>0</v>
      </c>
      <c r="S342" s="61">
        <f t="shared" si="1824"/>
        <v>0</v>
      </c>
      <c r="T342" s="61">
        <f t="shared" si="1824"/>
        <v>0</v>
      </c>
      <c r="U342" s="62">
        <f t="shared" si="1809"/>
        <v>1000</v>
      </c>
      <c r="V342" s="63">
        <f t="shared" si="1810"/>
        <v>0</v>
      </c>
      <c r="W342" s="63">
        <f t="shared" si="1811"/>
        <v>0</v>
      </c>
      <c r="X342" s="64">
        <f t="shared" ref="X342:Y342" si="1825">IF(O342&gt;0,O342/K342,0)</f>
        <v>0</v>
      </c>
      <c r="Y342" s="64">
        <f t="shared" si="1825"/>
        <v>0</v>
      </c>
      <c r="Z342" s="64">
        <f t="shared" si="1658"/>
        <v>0</v>
      </c>
      <c r="AA342" s="65"/>
      <c r="AB342" s="65"/>
      <c r="AC342" s="65"/>
      <c r="AD342" s="65"/>
      <c r="AE342" s="66"/>
      <c r="AF342" s="66"/>
      <c r="AG342" s="66"/>
      <c r="AH342" s="66"/>
      <c r="AI342" s="65"/>
      <c r="AJ342" s="65"/>
      <c r="AK342" s="65"/>
      <c r="AL342" s="65"/>
      <c r="AM342" s="65"/>
      <c r="AN342" s="65"/>
      <c r="AO342" s="65"/>
      <c r="AP342" s="65"/>
      <c r="AQ342" s="65"/>
      <c r="AR342" s="65"/>
      <c r="AS342" s="65"/>
      <c r="AT342" s="65"/>
      <c r="AU342" s="65"/>
      <c r="AV342" s="65"/>
      <c r="AW342" s="65"/>
      <c r="AX342" s="65"/>
      <c r="AY342" s="65"/>
      <c r="AZ342" s="65"/>
      <c r="BA342" s="65"/>
      <c r="BB342" s="65"/>
      <c r="BC342" s="65"/>
      <c r="BD342" s="65"/>
      <c r="BE342" s="65"/>
      <c r="BF342" s="65"/>
      <c r="BG342" s="65"/>
      <c r="BH342" s="65"/>
      <c r="BI342" s="65"/>
      <c r="BJ342" s="65"/>
      <c r="BK342" s="65">
        <v>0</v>
      </c>
      <c r="BL342" s="65">
        <v>0</v>
      </c>
      <c r="BM342" s="65">
        <v>0</v>
      </c>
      <c r="BN342" s="65">
        <f t="shared" si="1813"/>
        <v>0</v>
      </c>
      <c r="BO342" s="67">
        <f t="shared" si="1814"/>
        <v>0</v>
      </c>
      <c r="BP342" s="65">
        <f t="shared" si="1815"/>
        <v>0</v>
      </c>
      <c r="BQ342" s="65">
        <f t="shared" si="1816"/>
        <v>1000</v>
      </c>
      <c r="BR342" s="65">
        <f t="shared" si="1817"/>
        <v>0</v>
      </c>
      <c r="BS342" s="65">
        <f t="shared" si="1818"/>
        <v>1000</v>
      </c>
      <c r="BT342" s="65">
        <f t="shared" si="1819"/>
        <v>0</v>
      </c>
      <c r="BU342" s="65">
        <f t="shared" si="1820"/>
        <v>0</v>
      </c>
      <c r="BV342" s="65">
        <f t="shared" si="1821"/>
        <v>1000</v>
      </c>
      <c r="BW342" s="65">
        <f t="shared" si="1822"/>
        <v>1000</v>
      </c>
      <c r="BX342" s="6"/>
      <c r="BY342" s="6"/>
      <c r="BZ342" s="6"/>
      <c r="CA342" s="6"/>
      <c r="CB342" s="6"/>
      <c r="CC342" s="6"/>
      <c r="CD342" s="6"/>
      <c r="CE342" s="6"/>
      <c r="CF342" s="6"/>
      <c r="CG342" s="6"/>
    </row>
    <row r="343" spans="1:85" ht="15.75">
      <c r="A343" s="75"/>
      <c r="B343" s="76"/>
      <c r="C343" s="77"/>
      <c r="D343" s="78" t="s">
        <v>83</v>
      </c>
      <c r="E343" s="45">
        <f t="shared" ref="E343:H343" si="1826">SUM(E344)</f>
        <v>3066.13</v>
      </c>
      <c r="F343" s="46">
        <f t="shared" si="1826"/>
        <v>0</v>
      </c>
      <c r="G343" s="46">
        <f t="shared" si="1826"/>
        <v>3066.13</v>
      </c>
      <c r="H343" s="46">
        <f t="shared" si="1826"/>
        <v>0</v>
      </c>
      <c r="I343" s="47">
        <f t="shared" si="1582"/>
        <v>0</v>
      </c>
      <c r="J343" s="47">
        <f t="shared" si="1583"/>
        <v>0</v>
      </c>
      <c r="K343" s="46">
        <f t="shared" ref="K343:W343" si="1827">SUM(K344)</f>
        <v>0</v>
      </c>
      <c r="L343" s="46">
        <f t="shared" si="1827"/>
        <v>0</v>
      </c>
      <c r="M343" s="46">
        <f t="shared" si="1827"/>
        <v>0</v>
      </c>
      <c r="N343" s="46">
        <f t="shared" si="1827"/>
        <v>0</v>
      </c>
      <c r="O343" s="46">
        <f t="shared" si="1827"/>
        <v>0</v>
      </c>
      <c r="P343" s="46">
        <f t="shared" si="1827"/>
        <v>0</v>
      </c>
      <c r="Q343" s="46">
        <f t="shared" si="1827"/>
        <v>0</v>
      </c>
      <c r="R343" s="46">
        <f t="shared" si="1827"/>
        <v>0</v>
      </c>
      <c r="S343" s="46">
        <f t="shared" si="1827"/>
        <v>0</v>
      </c>
      <c r="T343" s="46">
        <f t="shared" si="1827"/>
        <v>0</v>
      </c>
      <c r="U343" s="46">
        <f t="shared" si="1827"/>
        <v>0</v>
      </c>
      <c r="V343" s="46">
        <f t="shared" si="1827"/>
        <v>0</v>
      </c>
      <c r="W343" s="46">
        <f t="shared" si="1827"/>
        <v>0</v>
      </c>
      <c r="X343" s="50">
        <f t="shared" ref="X343:Y343" si="1828">IF(O343&gt;0,O343/K343,0)</f>
        <v>0</v>
      </c>
      <c r="Y343" s="50">
        <f t="shared" si="1828"/>
        <v>0</v>
      </c>
      <c r="Z343" s="50">
        <f t="shared" si="1658"/>
        <v>0</v>
      </c>
      <c r="AA343" s="46">
        <f t="shared" ref="AA343:BW343" si="1829">SUM(AA344)</f>
        <v>0</v>
      </c>
      <c r="AB343" s="46">
        <f t="shared" si="1829"/>
        <v>0</v>
      </c>
      <c r="AC343" s="46">
        <f t="shared" si="1829"/>
        <v>0</v>
      </c>
      <c r="AD343" s="46">
        <f t="shared" si="1829"/>
        <v>0</v>
      </c>
      <c r="AE343" s="46">
        <f t="shared" si="1829"/>
        <v>0</v>
      </c>
      <c r="AF343" s="46">
        <f t="shared" si="1829"/>
        <v>0</v>
      </c>
      <c r="AG343" s="46">
        <f t="shared" si="1829"/>
        <v>0</v>
      </c>
      <c r="AH343" s="46">
        <f t="shared" si="1829"/>
        <v>0</v>
      </c>
      <c r="AI343" s="46">
        <f t="shared" si="1829"/>
        <v>0</v>
      </c>
      <c r="AJ343" s="46">
        <f t="shared" si="1829"/>
        <v>0</v>
      </c>
      <c r="AK343" s="46">
        <f t="shared" si="1829"/>
        <v>0</v>
      </c>
      <c r="AL343" s="46">
        <f t="shared" si="1829"/>
        <v>0</v>
      </c>
      <c r="AM343" s="46">
        <f t="shared" si="1829"/>
        <v>0</v>
      </c>
      <c r="AN343" s="46">
        <f t="shared" si="1829"/>
        <v>0</v>
      </c>
      <c r="AO343" s="46">
        <f t="shared" si="1829"/>
        <v>0</v>
      </c>
      <c r="AP343" s="46">
        <f t="shared" si="1829"/>
        <v>0</v>
      </c>
      <c r="AQ343" s="46">
        <f t="shared" si="1829"/>
        <v>0</v>
      </c>
      <c r="AR343" s="46">
        <f t="shared" si="1829"/>
        <v>0</v>
      </c>
      <c r="AS343" s="46">
        <f t="shared" si="1829"/>
        <v>0</v>
      </c>
      <c r="AT343" s="46">
        <f t="shared" si="1829"/>
        <v>0</v>
      </c>
      <c r="AU343" s="46">
        <f t="shared" si="1829"/>
        <v>0</v>
      </c>
      <c r="AV343" s="46">
        <f t="shared" si="1829"/>
        <v>0</v>
      </c>
      <c r="AW343" s="46">
        <f t="shared" si="1829"/>
        <v>0</v>
      </c>
      <c r="AX343" s="46">
        <f t="shared" si="1829"/>
        <v>0</v>
      </c>
      <c r="AY343" s="46">
        <f t="shared" si="1829"/>
        <v>0</v>
      </c>
      <c r="AZ343" s="46">
        <f t="shared" si="1829"/>
        <v>0</v>
      </c>
      <c r="BA343" s="46">
        <f t="shared" si="1829"/>
        <v>0</v>
      </c>
      <c r="BB343" s="46">
        <f t="shared" si="1829"/>
        <v>0</v>
      </c>
      <c r="BC343" s="46">
        <f t="shared" si="1829"/>
        <v>0</v>
      </c>
      <c r="BD343" s="46">
        <f t="shared" si="1829"/>
        <v>0</v>
      </c>
      <c r="BE343" s="46">
        <f t="shared" si="1829"/>
        <v>0</v>
      </c>
      <c r="BF343" s="46">
        <f t="shared" si="1829"/>
        <v>0</v>
      </c>
      <c r="BG343" s="46">
        <f t="shared" si="1829"/>
        <v>0</v>
      </c>
      <c r="BH343" s="46">
        <f t="shared" si="1829"/>
        <v>0</v>
      </c>
      <c r="BI343" s="46">
        <f t="shared" si="1829"/>
        <v>0</v>
      </c>
      <c r="BJ343" s="46">
        <f t="shared" si="1829"/>
        <v>0</v>
      </c>
      <c r="BK343" s="46">
        <f t="shared" si="1829"/>
        <v>0</v>
      </c>
      <c r="BL343" s="46">
        <f t="shared" si="1829"/>
        <v>0</v>
      </c>
      <c r="BM343" s="46">
        <f t="shared" si="1829"/>
        <v>0</v>
      </c>
      <c r="BN343" s="46">
        <f t="shared" si="1829"/>
        <v>0</v>
      </c>
      <c r="BO343" s="46">
        <f t="shared" si="1829"/>
        <v>0</v>
      </c>
      <c r="BP343" s="46">
        <f t="shared" si="1829"/>
        <v>0</v>
      </c>
      <c r="BQ343" s="46">
        <f t="shared" si="1829"/>
        <v>0</v>
      </c>
      <c r="BR343" s="46">
        <f t="shared" si="1829"/>
        <v>0</v>
      </c>
      <c r="BS343" s="46">
        <f t="shared" si="1829"/>
        <v>0</v>
      </c>
      <c r="BT343" s="46">
        <f t="shared" si="1829"/>
        <v>0</v>
      </c>
      <c r="BU343" s="46">
        <f t="shared" si="1829"/>
        <v>0</v>
      </c>
      <c r="BV343" s="46">
        <f t="shared" si="1829"/>
        <v>0</v>
      </c>
      <c r="BW343" s="46">
        <f t="shared" si="1829"/>
        <v>0</v>
      </c>
      <c r="BX343" s="51"/>
      <c r="BY343" s="51"/>
      <c r="BZ343" s="51"/>
      <c r="CA343" s="51"/>
      <c r="CB343" s="51"/>
      <c r="CC343" s="51"/>
      <c r="CD343" s="51"/>
      <c r="CE343" s="51"/>
      <c r="CF343" s="51"/>
      <c r="CG343" s="51"/>
    </row>
    <row r="344" spans="1:85" ht="15.75" customHeight="1">
      <c r="A344" s="68"/>
      <c r="B344" s="103"/>
      <c r="C344" s="68" t="s">
        <v>90</v>
      </c>
      <c r="D344" s="70" t="s">
        <v>91</v>
      </c>
      <c r="E344" s="56">
        <v>3066.13</v>
      </c>
      <c r="F344" s="99">
        <v>0</v>
      </c>
      <c r="G344" s="58">
        <f>E344-F344</f>
        <v>3066.13</v>
      </c>
      <c r="H344" s="99">
        <v>0</v>
      </c>
      <c r="I344" s="59">
        <f t="shared" si="1582"/>
        <v>0</v>
      </c>
      <c r="J344" s="59">
        <f t="shared" si="1583"/>
        <v>0</v>
      </c>
      <c r="K344" s="74">
        <v>0</v>
      </c>
      <c r="L344" s="74">
        <v>0</v>
      </c>
      <c r="M344" s="74">
        <v>0</v>
      </c>
      <c r="N344" s="74">
        <v>0</v>
      </c>
      <c r="O344" s="61">
        <f t="shared" ref="O344:Q344" si="1830">AA344+AD344+AG344+AJ344+AM344+AP344+AS344+AV344+AY344+BB344+BE344+BH344</f>
        <v>0</v>
      </c>
      <c r="P344" s="61">
        <f t="shared" si="1830"/>
        <v>0</v>
      </c>
      <c r="Q344" s="61">
        <f t="shared" si="1830"/>
        <v>0</v>
      </c>
      <c r="R344" s="61">
        <f t="shared" ref="R344:T344" si="1831">IF(BK344=0,SUM(AA344+AD344+AG344+AJ344+AM344+AP344+AS344+AV344+AY344+BB344+BE344+BH344),BK344)</f>
        <v>0</v>
      </c>
      <c r="S344" s="61">
        <f t="shared" si="1831"/>
        <v>0</v>
      </c>
      <c r="T344" s="61">
        <f t="shared" si="1831"/>
        <v>0</v>
      </c>
      <c r="U344" s="63">
        <f>K344-O344</f>
        <v>0</v>
      </c>
      <c r="V344" s="63">
        <f>L344-M344-S344</f>
        <v>0</v>
      </c>
      <c r="W344" s="63">
        <f>N344-Q344</f>
        <v>0</v>
      </c>
      <c r="X344" s="64">
        <f t="shared" ref="X344:Y344" si="1832">IF(O344&gt;0,O344/K344,0)</f>
        <v>0</v>
      </c>
      <c r="Y344" s="64">
        <f t="shared" si="1832"/>
        <v>0</v>
      </c>
      <c r="Z344" s="64">
        <f t="shared" si="1658"/>
        <v>0</v>
      </c>
      <c r="AA344" s="65"/>
      <c r="AB344" s="65"/>
      <c r="AC344" s="65"/>
      <c r="AD344" s="65"/>
      <c r="AE344" s="66"/>
      <c r="AF344" s="66"/>
      <c r="AG344" s="66"/>
      <c r="AH344" s="66"/>
      <c r="AI344" s="65"/>
      <c r="AJ344" s="65"/>
      <c r="AK344" s="65"/>
      <c r="AL344" s="65"/>
      <c r="AM344" s="65"/>
      <c r="AN344" s="65"/>
      <c r="AO344" s="65"/>
      <c r="AP344" s="65"/>
      <c r="AQ344" s="65"/>
      <c r="AR344" s="65"/>
      <c r="AS344" s="65"/>
      <c r="AT344" s="65"/>
      <c r="AU344" s="65"/>
      <c r="AV344" s="65"/>
      <c r="AW344" s="65"/>
      <c r="AX344" s="65"/>
      <c r="AY344" s="65"/>
      <c r="AZ344" s="65"/>
      <c r="BA344" s="65"/>
      <c r="BB344" s="65"/>
      <c r="BC344" s="65"/>
      <c r="BD344" s="65"/>
      <c r="BE344" s="65"/>
      <c r="BF344" s="65"/>
      <c r="BG344" s="65"/>
      <c r="BH344" s="65"/>
      <c r="BI344" s="65"/>
      <c r="BJ344" s="65"/>
      <c r="BK344" s="65">
        <v>0</v>
      </c>
      <c r="BL344" s="65">
        <v>0</v>
      </c>
      <c r="BM344" s="65">
        <v>0</v>
      </c>
      <c r="BN344" s="65">
        <f>IF(O344-BK344&gt;0,O344-BK344,0)</f>
        <v>0</v>
      </c>
      <c r="BO344" s="67">
        <f>IF(Q344-BM344&gt;0,Q344-BM344,0)</f>
        <v>0</v>
      </c>
      <c r="BP344" s="65">
        <f>IF(BN344+BO344&gt;0,BN344+BO344,0)</f>
        <v>0</v>
      </c>
      <c r="BQ344" s="65">
        <f>IF(U344=0,0,U344)</f>
        <v>0</v>
      </c>
      <c r="BR344" s="65">
        <f>IF(W344=0,0,W344)</f>
        <v>0</v>
      </c>
      <c r="BS344" s="65">
        <f>IF(BQ344+BR344&gt;0,BQ344+BR344,0)</f>
        <v>0</v>
      </c>
      <c r="BT344" s="65">
        <f>IF(V344&gt;0,V344,0)</f>
        <v>0</v>
      </c>
      <c r="BU344" s="65">
        <f>IF(BP344=0,0,BP344)</f>
        <v>0</v>
      </c>
      <c r="BV344" s="65">
        <f>IF(BS344=0,0,BS344)</f>
        <v>0</v>
      </c>
      <c r="BW344" s="65">
        <f>IF(BP344+BT344+BV344&gt;0,BP344+BT344+BV344,0)</f>
        <v>0</v>
      </c>
      <c r="BX344" s="6"/>
      <c r="BY344" s="6"/>
      <c r="BZ344" s="6"/>
      <c r="CA344" s="6"/>
      <c r="CB344" s="6"/>
      <c r="CC344" s="6"/>
      <c r="CD344" s="6"/>
      <c r="CE344" s="6"/>
      <c r="CF344" s="6"/>
      <c r="CG344" s="6"/>
    </row>
    <row r="345" spans="1:85" ht="15.75" customHeight="1">
      <c r="A345" s="260"/>
      <c r="B345" s="261"/>
      <c r="C345" s="262"/>
      <c r="D345" s="78" t="s">
        <v>339</v>
      </c>
      <c r="E345" s="45">
        <f t="shared" ref="E345:H345" si="1833">E346</f>
        <v>7000</v>
      </c>
      <c r="F345" s="46">
        <f t="shared" si="1833"/>
        <v>0</v>
      </c>
      <c r="G345" s="46">
        <f t="shared" si="1833"/>
        <v>7000</v>
      </c>
      <c r="H345" s="46">
        <f t="shared" si="1833"/>
        <v>0</v>
      </c>
      <c r="I345" s="47">
        <f t="shared" si="1582"/>
        <v>0</v>
      </c>
      <c r="J345" s="47">
        <f t="shared" si="1583"/>
        <v>0</v>
      </c>
      <c r="K345" s="46">
        <f t="shared" ref="K345:W345" si="1834">K346</f>
        <v>0</v>
      </c>
      <c r="L345" s="46">
        <f t="shared" si="1834"/>
        <v>0</v>
      </c>
      <c r="M345" s="46">
        <f t="shared" si="1834"/>
        <v>0</v>
      </c>
      <c r="N345" s="46">
        <f t="shared" si="1834"/>
        <v>0</v>
      </c>
      <c r="O345" s="46">
        <f t="shared" si="1834"/>
        <v>0</v>
      </c>
      <c r="P345" s="46">
        <f t="shared" si="1834"/>
        <v>0</v>
      </c>
      <c r="Q345" s="46">
        <f t="shared" si="1834"/>
        <v>0</v>
      </c>
      <c r="R345" s="46">
        <f t="shared" si="1834"/>
        <v>0</v>
      </c>
      <c r="S345" s="46">
        <f t="shared" si="1834"/>
        <v>0</v>
      </c>
      <c r="T345" s="46">
        <f t="shared" si="1834"/>
        <v>0</v>
      </c>
      <c r="U345" s="46">
        <f t="shared" si="1834"/>
        <v>0</v>
      </c>
      <c r="V345" s="46">
        <f t="shared" si="1834"/>
        <v>0</v>
      </c>
      <c r="W345" s="46">
        <f t="shared" si="1834"/>
        <v>0</v>
      </c>
      <c r="X345" s="50">
        <f t="shared" ref="X345:Y345" si="1835">IF(O345&gt;0,O345/K345,0)</f>
        <v>0</v>
      </c>
      <c r="Y345" s="50">
        <f t="shared" si="1835"/>
        <v>0</v>
      </c>
      <c r="Z345" s="50">
        <f t="shared" si="1658"/>
        <v>0</v>
      </c>
      <c r="AA345" s="46">
        <f t="shared" ref="AA345:BW345" si="1836">AA346</f>
        <v>0</v>
      </c>
      <c r="AB345" s="46">
        <f t="shared" si="1836"/>
        <v>0</v>
      </c>
      <c r="AC345" s="46">
        <f t="shared" si="1836"/>
        <v>0</v>
      </c>
      <c r="AD345" s="46">
        <f t="shared" si="1836"/>
        <v>0</v>
      </c>
      <c r="AE345" s="46">
        <f t="shared" si="1836"/>
        <v>0</v>
      </c>
      <c r="AF345" s="46">
        <f t="shared" si="1836"/>
        <v>0</v>
      </c>
      <c r="AG345" s="46">
        <f t="shared" si="1836"/>
        <v>0</v>
      </c>
      <c r="AH345" s="46">
        <f t="shared" si="1836"/>
        <v>0</v>
      </c>
      <c r="AI345" s="46">
        <f t="shared" si="1836"/>
        <v>0</v>
      </c>
      <c r="AJ345" s="46">
        <f t="shared" si="1836"/>
        <v>0</v>
      </c>
      <c r="AK345" s="46">
        <f t="shared" si="1836"/>
        <v>0</v>
      </c>
      <c r="AL345" s="46">
        <f t="shared" si="1836"/>
        <v>0</v>
      </c>
      <c r="AM345" s="46">
        <f t="shared" si="1836"/>
        <v>0</v>
      </c>
      <c r="AN345" s="46">
        <f t="shared" si="1836"/>
        <v>0</v>
      </c>
      <c r="AO345" s="46">
        <f t="shared" si="1836"/>
        <v>0</v>
      </c>
      <c r="AP345" s="46">
        <f t="shared" si="1836"/>
        <v>0</v>
      </c>
      <c r="AQ345" s="46">
        <f t="shared" si="1836"/>
        <v>0</v>
      </c>
      <c r="AR345" s="46">
        <f t="shared" si="1836"/>
        <v>0</v>
      </c>
      <c r="AS345" s="46">
        <f t="shared" si="1836"/>
        <v>0</v>
      </c>
      <c r="AT345" s="46">
        <f t="shared" si="1836"/>
        <v>0</v>
      </c>
      <c r="AU345" s="46">
        <f t="shared" si="1836"/>
        <v>0</v>
      </c>
      <c r="AV345" s="46">
        <f t="shared" si="1836"/>
        <v>0</v>
      </c>
      <c r="AW345" s="46">
        <f t="shared" si="1836"/>
        <v>0</v>
      </c>
      <c r="AX345" s="46">
        <f t="shared" si="1836"/>
        <v>0</v>
      </c>
      <c r="AY345" s="46">
        <f t="shared" si="1836"/>
        <v>0</v>
      </c>
      <c r="AZ345" s="46">
        <f t="shared" si="1836"/>
        <v>0</v>
      </c>
      <c r="BA345" s="46">
        <f t="shared" si="1836"/>
        <v>0</v>
      </c>
      <c r="BB345" s="46">
        <f t="shared" si="1836"/>
        <v>0</v>
      </c>
      <c r="BC345" s="46">
        <f t="shared" si="1836"/>
        <v>0</v>
      </c>
      <c r="BD345" s="46">
        <f t="shared" si="1836"/>
        <v>0</v>
      </c>
      <c r="BE345" s="46">
        <f t="shared" si="1836"/>
        <v>0</v>
      </c>
      <c r="BF345" s="46">
        <f t="shared" si="1836"/>
        <v>0</v>
      </c>
      <c r="BG345" s="46">
        <f t="shared" si="1836"/>
        <v>0</v>
      </c>
      <c r="BH345" s="46">
        <f t="shared" si="1836"/>
        <v>0</v>
      </c>
      <c r="BI345" s="46">
        <f t="shared" si="1836"/>
        <v>0</v>
      </c>
      <c r="BJ345" s="46">
        <f t="shared" si="1836"/>
        <v>0</v>
      </c>
      <c r="BK345" s="46">
        <f t="shared" si="1836"/>
        <v>0</v>
      </c>
      <c r="BL345" s="46">
        <f t="shared" si="1836"/>
        <v>0</v>
      </c>
      <c r="BM345" s="46">
        <f t="shared" si="1836"/>
        <v>0</v>
      </c>
      <c r="BN345" s="46">
        <f t="shared" si="1836"/>
        <v>0</v>
      </c>
      <c r="BO345" s="46">
        <f t="shared" si="1836"/>
        <v>0</v>
      </c>
      <c r="BP345" s="46">
        <f t="shared" si="1836"/>
        <v>0</v>
      </c>
      <c r="BQ345" s="46">
        <f t="shared" si="1836"/>
        <v>0</v>
      </c>
      <c r="BR345" s="46">
        <f t="shared" si="1836"/>
        <v>0</v>
      </c>
      <c r="BS345" s="46">
        <f t="shared" si="1836"/>
        <v>0</v>
      </c>
      <c r="BT345" s="46">
        <f t="shared" si="1836"/>
        <v>0</v>
      </c>
      <c r="BU345" s="46">
        <f t="shared" si="1836"/>
        <v>0</v>
      </c>
      <c r="BV345" s="46">
        <f t="shared" si="1836"/>
        <v>0</v>
      </c>
      <c r="BW345" s="46">
        <f t="shared" si="1836"/>
        <v>0</v>
      </c>
      <c r="BX345" s="6"/>
      <c r="BY345" s="6"/>
      <c r="BZ345" s="6"/>
      <c r="CA345" s="6"/>
      <c r="CB345" s="6"/>
      <c r="CC345" s="6"/>
      <c r="CD345" s="6"/>
      <c r="CE345" s="6"/>
      <c r="CF345" s="6"/>
      <c r="CG345" s="6"/>
    </row>
    <row r="346" spans="1:85" ht="15.75" customHeight="1">
      <c r="A346" s="68"/>
      <c r="B346" s="103"/>
      <c r="C346" s="68" t="s">
        <v>340</v>
      </c>
      <c r="D346" s="171" t="s">
        <v>341</v>
      </c>
      <c r="E346" s="56">
        <v>7000</v>
      </c>
      <c r="F346" s="99">
        <v>0</v>
      </c>
      <c r="G346" s="58">
        <f>E346-F346</f>
        <v>7000</v>
      </c>
      <c r="H346" s="99">
        <v>0</v>
      </c>
      <c r="I346" s="59">
        <f t="shared" si="1582"/>
        <v>0</v>
      </c>
      <c r="J346" s="59">
        <f t="shared" si="1583"/>
        <v>0</v>
      </c>
      <c r="K346" s="74">
        <v>0</v>
      </c>
      <c r="L346" s="74">
        <v>0</v>
      </c>
      <c r="M346" s="74">
        <v>0</v>
      </c>
      <c r="N346" s="74">
        <v>0</v>
      </c>
      <c r="O346" s="61">
        <f t="shared" ref="O346:Q346" si="1837">AA346+AD346+AG346+AJ346+AM346+AP346+AS346+AV346+AY346+BB346+BE346+BH346</f>
        <v>0</v>
      </c>
      <c r="P346" s="61">
        <f t="shared" si="1837"/>
        <v>0</v>
      </c>
      <c r="Q346" s="61">
        <f t="shared" si="1837"/>
        <v>0</v>
      </c>
      <c r="R346" s="61">
        <f t="shared" ref="R346:T346" si="1838">IF(BK346=0,SUM(AA346+AD346+AG346+AJ346+AM346+AP346+AS346+AV346+AY346+BB346+BE346+BH346),BK346)</f>
        <v>0</v>
      </c>
      <c r="S346" s="61">
        <f t="shared" si="1838"/>
        <v>0</v>
      </c>
      <c r="T346" s="61">
        <f t="shared" si="1838"/>
        <v>0</v>
      </c>
      <c r="U346" s="63">
        <f>K346-O346</f>
        <v>0</v>
      </c>
      <c r="V346" s="63">
        <f>L346-M346-S346</f>
        <v>0</v>
      </c>
      <c r="W346" s="63">
        <f>N346-Q346</f>
        <v>0</v>
      </c>
      <c r="X346" s="64">
        <f t="shared" ref="X346:Y346" si="1839">IF(O346&gt;0,O346/K346,0)</f>
        <v>0</v>
      </c>
      <c r="Y346" s="64">
        <f t="shared" si="1839"/>
        <v>0</v>
      </c>
      <c r="Z346" s="64">
        <f t="shared" si="1658"/>
        <v>0</v>
      </c>
      <c r="AA346" s="65"/>
      <c r="AB346" s="65"/>
      <c r="AC346" s="65"/>
      <c r="AD346" s="65"/>
      <c r="AE346" s="66"/>
      <c r="AF346" s="66"/>
      <c r="AG346" s="66"/>
      <c r="AH346" s="66"/>
      <c r="AI346" s="65"/>
      <c r="AJ346" s="65"/>
      <c r="AK346" s="65"/>
      <c r="AL346" s="65"/>
      <c r="AM346" s="65"/>
      <c r="AN346" s="65"/>
      <c r="AO346" s="65"/>
      <c r="AP346" s="65"/>
      <c r="AQ346" s="65"/>
      <c r="AR346" s="65"/>
      <c r="AS346" s="65"/>
      <c r="AT346" s="65"/>
      <c r="AU346" s="65"/>
      <c r="AV346" s="65"/>
      <c r="AW346" s="65"/>
      <c r="AX346" s="65"/>
      <c r="AY346" s="65"/>
      <c r="AZ346" s="65"/>
      <c r="BA346" s="65"/>
      <c r="BB346" s="65"/>
      <c r="BC346" s="65"/>
      <c r="BD346" s="65"/>
      <c r="BE346" s="65"/>
      <c r="BF346" s="65"/>
      <c r="BG346" s="65"/>
      <c r="BH346" s="65"/>
      <c r="BI346" s="65"/>
      <c r="BJ346" s="65"/>
      <c r="BK346" s="65">
        <v>0</v>
      </c>
      <c r="BL346" s="65">
        <v>0</v>
      </c>
      <c r="BM346" s="65">
        <v>0</v>
      </c>
      <c r="BN346" s="65">
        <f>IF(O346-BK346&gt;0,O346-BK346,0)</f>
        <v>0</v>
      </c>
      <c r="BO346" s="67">
        <f>IF(Q346-BM346&gt;0,Q346-BM346,0)</f>
        <v>0</v>
      </c>
      <c r="BP346" s="65">
        <f>IF(BN346+BO346&gt;0,BN346+BO346,0)</f>
        <v>0</v>
      </c>
      <c r="BQ346" s="65">
        <f>IF(U346=0,0,U346)</f>
        <v>0</v>
      </c>
      <c r="BR346" s="65">
        <f>IF(W346=0,0,W346)</f>
        <v>0</v>
      </c>
      <c r="BS346" s="65">
        <f>IF(BQ346+BR346&gt;0,BQ346+BR346,0)</f>
        <v>0</v>
      </c>
      <c r="BT346" s="65">
        <f>IF(V346&gt;0,V346,0)</f>
        <v>0</v>
      </c>
      <c r="BU346" s="65">
        <f>IF(BP346=0,0,BP346)</f>
        <v>0</v>
      </c>
      <c r="BV346" s="65">
        <f>IF(BS346=0,0,BS346)</f>
        <v>0</v>
      </c>
      <c r="BW346" s="65">
        <f>IF(BP346+BT346+BV346&gt;0,BP346+BT346+BV346,0)</f>
        <v>0</v>
      </c>
      <c r="BX346" s="6"/>
      <c r="BY346" s="6"/>
      <c r="BZ346" s="6"/>
      <c r="CA346" s="6"/>
      <c r="CB346" s="6"/>
      <c r="CC346" s="6"/>
      <c r="CD346" s="6"/>
      <c r="CE346" s="6"/>
      <c r="CF346" s="6"/>
      <c r="CG346" s="6"/>
    </row>
    <row r="347" spans="1:85" ht="15.75" customHeight="1">
      <c r="A347" s="260"/>
      <c r="B347" s="261"/>
      <c r="C347" s="262"/>
      <c r="D347" s="78" t="s">
        <v>247</v>
      </c>
      <c r="E347" s="45">
        <f t="shared" ref="E347:H347" si="1840">E348</f>
        <v>1400</v>
      </c>
      <c r="F347" s="46">
        <f t="shared" si="1840"/>
        <v>0</v>
      </c>
      <c r="G347" s="46">
        <f t="shared" si="1840"/>
        <v>1400</v>
      </c>
      <c r="H347" s="46">
        <f t="shared" si="1840"/>
        <v>0</v>
      </c>
      <c r="I347" s="47">
        <f t="shared" si="1582"/>
        <v>0</v>
      </c>
      <c r="J347" s="47">
        <f t="shared" si="1583"/>
        <v>0</v>
      </c>
      <c r="K347" s="46">
        <f t="shared" ref="K347:W347" si="1841">K348</f>
        <v>0</v>
      </c>
      <c r="L347" s="46">
        <f t="shared" si="1841"/>
        <v>0</v>
      </c>
      <c r="M347" s="46">
        <f t="shared" si="1841"/>
        <v>0</v>
      </c>
      <c r="N347" s="46">
        <f t="shared" si="1841"/>
        <v>0</v>
      </c>
      <c r="O347" s="46">
        <f t="shared" si="1841"/>
        <v>0</v>
      </c>
      <c r="P347" s="46">
        <f t="shared" si="1841"/>
        <v>0</v>
      </c>
      <c r="Q347" s="46">
        <f t="shared" si="1841"/>
        <v>0</v>
      </c>
      <c r="R347" s="46">
        <f t="shared" si="1841"/>
        <v>0</v>
      </c>
      <c r="S347" s="46">
        <f t="shared" si="1841"/>
        <v>0</v>
      </c>
      <c r="T347" s="46">
        <f t="shared" si="1841"/>
        <v>0</v>
      </c>
      <c r="U347" s="46">
        <f t="shared" si="1841"/>
        <v>0</v>
      </c>
      <c r="V347" s="46">
        <f t="shared" si="1841"/>
        <v>0</v>
      </c>
      <c r="W347" s="46">
        <f t="shared" si="1841"/>
        <v>0</v>
      </c>
      <c r="X347" s="50">
        <f t="shared" ref="X347:Y347" si="1842">IF(O347&gt;0,O347/K347,0)</f>
        <v>0</v>
      </c>
      <c r="Y347" s="50">
        <f t="shared" si="1842"/>
        <v>0</v>
      </c>
      <c r="Z347" s="50">
        <f t="shared" si="1658"/>
        <v>0</v>
      </c>
      <c r="AA347" s="46">
        <f t="shared" ref="AA347:BW347" si="1843">AA348</f>
        <v>0</v>
      </c>
      <c r="AB347" s="46">
        <f t="shared" si="1843"/>
        <v>0</v>
      </c>
      <c r="AC347" s="46">
        <f t="shared" si="1843"/>
        <v>0</v>
      </c>
      <c r="AD347" s="46">
        <f t="shared" si="1843"/>
        <v>0</v>
      </c>
      <c r="AE347" s="46">
        <f t="shared" si="1843"/>
        <v>0</v>
      </c>
      <c r="AF347" s="46">
        <f t="shared" si="1843"/>
        <v>0</v>
      </c>
      <c r="AG347" s="46">
        <f t="shared" si="1843"/>
        <v>0</v>
      </c>
      <c r="AH347" s="46">
        <f t="shared" si="1843"/>
        <v>0</v>
      </c>
      <c r="AI347" s="46">
        <f t="shared" si="1843"/>
        <v>0</v>
      </c>
      <c r="AJ347" s="46">
        <f t="shared" si="1843"/>
        <v>0</v>
      </c>
      <c r="AK347" s="46">
        <f t="shared" si="1843"/>
        <v>0</v>
      </c>
      <c r="AL347" s="46">
        <f t="shared" si="1843"/>
        <v>0</v>
      </c>
      <c r="AM347" s="46">
        <f t="shared" si="1843"/>
        <v>0</v>
      </c>
      <c r="AN347" s="46">
        <f t="shared" si="1843"/>
        <v>0</v>
      </c>
      <c r="AO347" s="46">
        <f t="shared" si="1843"/>
        <v>0</v>
      </c>
      <c r="AP347" s="46">
        <f t="shared" si="1843"/>
        <v>0</v>
      </c>
      <c r="AQ347" s="46">
        <f t="shared" si="1843"/>
        <v>0</v>
      </c>
      <c r="AR347" s="46">
        <f t="shared" si="1843"/>
        <v>0</v>
      </c>
      <c r="AS347" s="46">
        <f t="shared" si="1843"/>
        <v>0</v>
      </c>
      <c r="AT347" s="46">
        <f t="shared" si="1843"/>
        <v>0</v>
      </c>
      <c r="AU347" s="46">
        <f t="shared" si="1843"/>
        <v>0</v>
      </c>
      <c r="AV347" s="46">
        <f t="shared" si="1843"/>
        <v>0</v>
      </c>
      <c r="AW347" s="46">
        <f t="shared" si="1843"/>
        <v>0</v>
      </c>
      <c r="AX347" s="46">
        <f t="shared" si="1843"/>
        <v>0</v>
      </c>
      <c r="AY347" s="46">
        <f t="shared" si="1843"/>
        <v>0</v>
      </c>
      <c r="AZ347" s="46">
        <f t="shared" si="1843"/>
        <v>0</v>
      </c>
      <c r="BA347" s="46">
        <f t="shared" si="1843"/>
        <v>0</v>
      </c>
      <c r="BB347" s="46">
        <f t="shared" si="1843"/>
        <v>0</v>
      </c>
      <c r="BC347" s="46">
        <f t="shared" si="1843"/>
        <v>0</v>
      </c>
      <c r="BD347" s="46">
        <f t="shared" si="1843"/>
        <v>0</v>
      </c>
      <c r="BE347" s="46">
        <f t="shared" si="1843"/>
        <v>0</v>
      </c>
      <c r="BF347" s="46">
        <f t="shared" si="1843"/>
        <v>0</v>
      </c>
      <c r="BG347" s="46">
        <f t="shared" si="1843"/>
        <v>0</v>
      </c>
      <c r="BH347" s="46">
        <f t="shared" si="1843"/>
        <v>0</v>
      </c>
      <c r="BI347" s="46">
        <f t="shared" si="1843"/>
        <v>0</v>
      </c>
      <c r="BJ347" s="46">
        <f t="shared" si="1843"/>
        <v>0</v>
      </c>
      <c r="BK347" s="46">
        <f t="shared" si="1843"/>
        <v>0</v>
      </c>
      <c r="BL347" s="46">
        <f t="shared" si="1843"/>
        <v>0</v>
      </c>
      <c r="BM347" s="46">
        <f t="shared" si="1843"/>
        <v>0</v>
      </c>
      <c r="BN347" s="46">
        <f t="shared" si="1843"/>
        <v>0</v>
      </c>
      <c r="BO347" s="46">
        <f t="shared" si="1843"/>
        <v>0</v>
      </c>
      <c r="BP347" s="46">
        <f t="shared" si="1843"/>
        <v>0</v>
      </c>
      <c r="BQ347" s="46">
        <f t="shared" si="1843"/>
        <v>0</v>
      </c>
      <c r="BR347" s="46">
        <f t="shared" si="1843"/>
        <v>0</v>
      </c>
      <c r="BS347" s="46">
        <f t="shared" si="1843"/>
        <v>0</v>
      </c>
      <c r="BT347" s="46">
        <f t="shared" si="1843"/>
        <v>0</v>
      </c>
      <c r="BU347" s="46">
        <f t="shared" si="1843"/>
        <v>0</v>
      </c>
      <c r="BV347" s="46">
        <f t="shared" si="1843"/>
        <v>0</v>
      </c>
      <c r="BW347" s="46">
        <f t="shared" si="1843"/>
        <v>0</v>
      </c>
      <c r="BX347" s="6"/>
      <c r="BY347" s="6"/>
      <c r="BZ347" s="6"/>
      <c r="CA347" s="6"/>
      <c r="CB347" s="6"/>
      <c r="CC347" s="6"/>
      <c r="CD347" s="6"/>
      <c r="CE347" s="6"/>
      <c r="CF347" s="6"/>
      <c r="CG347" s="6"/>
    </row>
    <row r="348" spans="1:85" ht="15.75" customHeight="1">
      <c r="A348" s="71"/>
      <c r="B348" s="72"/>
      <c r="C348" s="71" t="s">
        <v>342</v>
      </c>
      <c r="D348" s="198" t="s">
        <v>479</v>
      </c>
      <c r="E348" s="56">
        <v>1400</v>
      </c>
      <c r="F348" s="99">
        <v>0</v>
      </c>
      <c r="G348" s="58">
        <f>E348-F348</f>
        <v>1400</v>
      </c>
      <c r="H348" s="99">
        <v>0</v>
      </c>
      <c r="I348" s="59">
        <f t="shared" si="1582"/>
        <v>0</v>
      </c>
      <c r="J348" s="59">
        <f t="shared" si="1583"/>
        <v>0</v>
      </c>
      <c r="K348" s="74">
        <v>0</v>
      </c>
      <c r="L348" s="74">
        <v>0</v>
      </c>
      <c r="M348" s="74">
        <v>0</v>
      </c>
      <c r="N348" s="74">
        <v>0</v>
      </c>
      <c r="O348" s="61">
        <f t="shared" ref="O348:Q348" si="1844">AA348+AD348+AG348+AJ348+AM348+AP348+AS348+AV348+AY348+BB348+BE348+BH348</f>
        <v>0</v>
      </c>
      <c r="P348" s="61">
        <f t="shared" si="1844"/>
        <v>0</v>
      </c>
      <c r="Q348" s="61">
        <f t="shared" si="1844"/>
        <v>0</v>
      </c>
      <c r="R348" s="61">
        <f t="shared" ref="R348:T348" si="1845">IF(BK348=0,SUM(AA348+AD348+AG348+AJ348+AM348+AP348+AS348+AV348+AY348+BB348+BE348+BH348),BK348)</f>
        <v>0</v>
      </c>
      <c r="S348" s="61">
        <f t="shared" si="1845"/>
        <v>0</v>
      </c>
      <c r="T348" s="61">
        <f t="shared" si="1845"/>
        <v>0</v>
      </c>
      <c r="U348" s="63">
        <f>K348-O348</f>
        <v>0</v>
      </c>
      <c r="V348" s="63">
        <f>L348-M348-S348</f>
        <v>0</v>
      </c>
      <c r="W348" s="63">
        <f>N348-Q348</f>
        <v>0</v>
      </c>
      <c r="X348" s="64">
        <f t="shared" ref="X348:Y348" si="1846">IF(O348&gt;0,O348/K348,0)</f>
        <v>0</v>
      </c>
      <c r="Y348" s="64">
        <f t="shared" si="1846"/>
        <v>0</v>
      </c>
      <c r="Z348" s="64">
        <f t="shared" si="1658"/>
        <v>0</v>
      </c>
      <c r="AA348" s="65"/>
      <c r="AB348" s="65"/>
      <c r="AC348" s="65"/>
      <c r="AD348" s="65"/>
      <c r="AE348" s="66"/>
      <c r="AF348" s="66"/>
      <c r="AG348" s="66"/>
      <c r="AH348" s="66"/>
      <c r="AI348" s="65"/>
      <c r="AJ348" s="65"/>
      <c r="AK348" s="65"/>
      <c r="AL348" s="65"/>
      <c r="AM348" s="65"/>
      <c r="AN348" s="65"/>
      <c r="AO348" s="65"/>
      <c r="AP348" s="65"/>
      <c r="AQ348" s="65"/>
      <c r="AR348" s="65"/>
      <c r="AS348" s="65"/>
      <c r="AT348" s="65"/>
      <c r="AU348" s="65"/>
      <c r="AV348" s="65"/>
      <c r="AW348" s="65"/>
      <c r="AX348" s="65"/>
      <c r="AY348" s="65"/>
      <c r="AZ348" s="65"/>
      <c r="BA348" s="65"/>
      <c r="BB348" s="65"/>
      <c r="BC348" s="65"/>
      <c r="BD348" s="65"/>
      <c r="BE348" s="65"/>
      <c r="BF348" s="65"/>
      <c r="BG348" s="65"/>
      <c r="BH348" s="65"/>
      <c r="BI348" s="65"/>
      <c r="BJ348" s="65"/>
      <c r="BK348" s="65">
        <v>0</v>
      </c>
      <c r="BL348" s="65">
        <v>0</v>
      </c>
      <c r="BM348" s="65">
        <v>0</v>
      </c>
      <c r="BN348" s="65">
        <f>IF(O348-BK348&gt;0,O348-BK348,0)</f>
        <v>0</v>
      </c>
      <c r="BO348" s="67">
        <f>IF(Q348-BM348&gt;0,Q348-BM348,0)</f>
        <v>0</v>
      </c>
      <c r="BP348" s="65">
        <f>IF(BN348+BO348&gt;0,BN348+BO348,0)</f>
        <v>0</v>
      </c>
      <c r="BQ348" s="65">
        <f>IF(U348=0,0,U348)</f>
        <v>0</v>
      </c>
      <c r="BR348" s="65">
        <f>IF(W348=0,0,W348)</f>
        <v>0</v>
      </c>
      <c r="BS348" s="65">
        <f>IF(BQ348+BR348&gt;0,BQ348+BR348,0)</f>
        <v>0</v>
      </c>
      <c r="BT348" s="65">
        <f>IF(V348&gt;0,V348,0)</f>
        <v>0</v>
      </c>
      <c r="BU348" s="65">
        <f>IF(BP348=0,0,BP348)</f>
        <v>0</v>
      </c>
      <c r="BV348" s="65">
        <f>IF(BS348=0,0,BS348)</f>
        <v>0</v>
      </c>
      <c r="BW348" s="65">
        <f>IF(BP348+BT348+BV348&gt;0,BP348+BT348+BV348,0)</f>
        <v>0</v>
      </c>
      <c r="BX348" s="6"/>
      <c r="BY348" s="6"/>
      <c r="BZ348" s="6"/>
      <c r="CA348" s="6"/>
      <c r="CB348" s="6"/>
      <c r="CC348" s="6"/>
      <c r="CD348" s="6"/>
      <c r="CE348" s="6"/>
      <c r="CF348" s="6"/>
      <c r="CG348" s="6"/>
    </row>
    <row r="349" spans="1:85" ht="15.75" customHeight="1">
      <c r="A349" s="325"/>
      <c r="B349" s="326"/>
      <c r="C349" s="327"/>
      <c r="D349" s="328" t="s">
        <v>482</v>
      </c>
      <c r="E349" s="329">
        <f t="shared" ref="E349:H349" si="1847">E350+E353+E355+E357</f>
        <v>19403.95</v>
      </c>
      <c r="F349" s="329">
        <f t="shared" si="1847"/>
        <v>0</v>
      </c>
      <c r="G349" s="329">
        <f t="shared" si="1847"/>
        <v>19403.95</v>
      </c>
      <c r="H349" s="329">
        <f t="shared" si="1847"/>
        <v>0</v>
      </c>
      <c r="I349" s="330">
        <f t="shared" si="1582"/>
        <v>5.1535898618580232E-2</v>
      </c>
      <c r="J349" s="330">
        <f t="shared" si="1583"/>
        <v>7.753575947165396E-3</v>
      </c>
      <c r="K349" s="329">
        <f t="shared" ref="K349:W349" si="1848">K350+K353+K355+K357</f>
        <v>1000</v>
      </c>
      <c r="L349" s="329">
        <f t="shared" si="1848"/>
        <v>0</v>
      </c>
      <c r="M349" s="329">
        <f t="shared" si="1848"/>
        <v>0</v>
      </c>
      <c r="N349" s="329">
        <f t="shared" si="1848"/>
        <v>0</v>
      </c>
      <c r="O349" s="329">
        <f t="shared" si="1848"/>
        <v>150.44999999999999</v>
      </c>
      <c r="P349" s="329">
        <f t="shared" si="1848"/>
        <v>0</v>
      </c>
      <c r="Q349" s="329">
        <f t="shared" si="1848"/>
        <v>0</v>
      </c>
      <c r="R349" s="329">
        <f t="shared" si="1848"/>
        <v>150.44999999999999</v>
      </c>
      <c r="S349" s="329">
        <f t="shared" si="1848"/>
        <v>0</v>
      </c>
      <c r="T349" s="329">
        <f t="shared" si="1848"/>
        <v>0</v>
      </c>
      <c r="U349" s="329">
        <f t="shared" si="1848"/>
        <v>849.55</v>
      </c>
      <c r="V349" s="329">
        <f t="shared" si="1848"/>
        <v>0</v>
      </c>
      <c r="W349" s="329">
        <f t="shared" si="1848"/>
        <v>0</v>
      </c>
      <c r="X349" s="331">
        <f t="shared" ref="X349:Y349" si="1849">IF(O349&gt;0,O349/K349,0)</f>
        <v>0.15045</v>
      </c>
      <c r="Y349" s="331">
        <f t="shared" si="1849"/>
        <v>0</v>
      </c>
      <c r="Z349" s="331">
        <f t="shared" si="1658"/>
        <v>0</v>
      </c>
      <c r="AA349" s="329">
        <f t="shared" ref="AA349:BW349" si="1850">AA350+AA353+AA355+AA357</f>
        <v>0</v>
      </c>
      <c r="AB349" s="329">
        <f t="shared" si="1850"/>
        <v>0</v>
      </c>
      <c r="AC349" s="329">
        <f t="shared" si="1850"/>
        <v>0</v>
      </c>
      <c r="AD349" s="329">
        <f t="shared" si="1850"/>
        <v>0</v>
      </c>
      <c r="AE349" s="329">
        <f t="shared" si="1850"/>
        <v>0</v>
      </c>
      <c r="AF349" s="329">
        <f t="shared" si="1850"/>
        <v>0</v>
      </c>
      <c r="AG349" s="329">
        <f t="shared" si="1850"/>
        <v>150.44999999999999</v>
      </c>
      <c r="AH349" s="329">
        <f t="shared" si="1850"/>
        <v>0</v>
      </c>
      <c r="AI349" s="329">
        <f t="shared" si="1850"/>
        <v>0</v>
      </c>
      <c r="AJ349" s="329">
        <f t="shared" si="1850"/>
        <v>0</v>
      </c>
      <c r="AK349" s="329">
        <f t="shared" si="1850"/>
        <v>0</v>
      </c>
      <c r="AL349" s="329">
        <f t="shared" si="1850"/>
        <v>0</v>
      </c>
      <c r="AM349" s="329">
        <f t="shared" si="1850"/>
        <v>0</v>
      </c>
      <c r="AN349" s="329">
        <f t="shared" si="1850"/>
        <v>0</v>
      </c>
      <c r="AO349" s="329">
        <f t="shared" si="1850"/>
        <v>0</v>
      </c>
      <c r="AP349" s="329">
        <f t="shared" si="1850"/>
        <v>0</v>
      </c>
      <c r="AQ349" s="329">
        <f t="shared" si="1850"/>
        <v>0</v>
      </c>
      <c r="AR349" s="329">
        <f t="shared" si="1850"/>
        <v>0</v>
      </c>
      <c r="AS349" s="329">
        <f t="shared" si="1850"/>
        <v>0</v>
      </c>
      <c r="AT349" s="329">
        <f t="shared" si="1850"/>
        <v>0</v>
      </c>
      <c r="AU349" s="329">
        <f t="shared" si="1850"/>
        <v>0</v>
      </c>
      <c r="AV349" s="329">
        <f t="shared" si="1850"/>
        <v>0</v>
      </c>
      <c r="AW349" s="329">
        <f t="shared" si="1850"/>
        <v>0</v>
      </c>
      <c r="AX349" s="329">
        <f t="shared" si="1850"/>
        <v>0</v>
      </c>
      <c r="AY349" s="329">
        <f t="shared" si="1850"/>
        <v>0</v>
      </c>
      <c r="AZ349" s="329">
        <f t="shared" si="1850"/>
        <v>0</v>
      </c>
      <c r="BA349" s="329">
        <f t="shared" si="1850"/>
        <v>0</v>
      </c>
      <c r="BB349" s="329">
        <f t="shared" si="1850"/>
        <v>0</v>
      </c>
      <c r="BC349" s="329">
        <f t="shared" si="1850"/>
        <v>0</v>
      </c>
      <c r="BD349" s="329">
        <f t="shared" si="1850"/>
        <v>0</v>
      </c>
      <c r="BE349" s="329">
        <f t="shared" si="1850"/>
        <v>0</v>
      </c>
      <c r="BF349" s="329">
        <f t="shared" si="1850"/>
        <v>0</v>
      </c>
      <c r="BG349" s="329">
        <f t="shared" si="1850"/>
        <v>0</v>
      </c>
      <c r="BH349" s="329">
        <f t="shared" si="1850"/>
        <v>0</v>
      </c>
      <c r="BI349" s="329">
        <f t="shared" si="1850"/>
        <v>0</v>
      </c>
      <c r="BJ349" s="329">
        <f t="shared" si="1850"/>
        <v>0</v>
      </c>
      <c r="BK349" s="329">
        <f t="shared" si="1850"/>
        <v>0</v>
      </c>
      <c r="BL349" s="329">
        <f t="shared" si="1850"/>
        <v>0</v>
      </c>
      <c r="BM349" s="329">
        <f t="shared" si="1850"/>
        <v>0</v>
      </c>
      <c r="BN349" s="329">
        <f t="shared" si="1850"/>
        <v>150.44999999999999</v>
      </c>
      <c r="BO349" s="329">
        <f t="shared" si="1850"/>
        <v>0</v>
      </c>
      <c r="BP349" s="329">
        <f t="shared" si="1850"/>
        <v>150.44999999999999</v>
      </c>
      <c r="BQ349" s="329">
        <f t="shared" si="1850"/>
        <v>849.55</v>
      </c>
      <c r="BR349" s="329">
        <f t="shared" si="1850"/>
        <v>0</v>
      </c>
      <c r="BS349" s="329">
        <f t="shared" si="1850"/>
        <v>849.55</v>
      </c>
      <c r="BT349" s="329">
        <f t="shared" si="1850"/>
        <v>0</v>
      </c>
      <c r="BU349" s="329">
        <f t="shared" si="1850"/>
        <v>150.44999999999999</v>
      </c>
      <c r="BV349" s="329">
        <f t="shared" si="1850"/>
        <v>849.55</v>
      </c>
      <c r="BW349" s="329">
        <f t="shared" si="1850"/>
        <v>1000</v>
      </c>
      <c r="BX349" s="6"/>
      <c r="BY349" s="6"/>
      <c r="BZ349" s="6"/>
      <c r="CA349" s="6"/>
      <c r="CB349" s="6"/>
      <c r="CC349" s="6"/>
      <c r="CD349" s="6"/>
      <c r="CE349" s="6"/>
      <c r="CF349" s="6"/>
      <c r="CG349" s="6"/>
    </row>
    <row r="350" spans="1:85" ht="15.75">
      <c r="A350" s="41"/>
      <c r="B350" s="42"/>
      <c r="C350" s="43"/>
      <c r="D350" s="44" t="s">
        <v>67</v>
      </c>
      <c r="E350" s="45">
        <f t="shared" ref="E350:H350" si="1851">SUM(E351:E352)</f>
        <v>7937.82</v>
      </c>
      <c r="F350" s="46">
        <f t="shared" si="1851"/>
        <v>0</v>
      </c>
      <c r="G350" s="46">
        <f t="shared" si="1851"/>
        <v>7937.82</v>
      </c>
      <c r="H350" s="46">
        <f t="shared" si="1851"/>
        <v>0</v>
      </c>
      <c r="I350" s="47">
        <f t="shared" si="1582"/>
        <v>0.12597917312309928</v>
      </c>
      <c r="J350" s="47">
        <f t="shared" si="1583"/>
        <v>1.8953566596370288E-2</v>
      </c>
      <c r="K350" s="46">
        <f t="shared" ref="K350:W350" si="1852">SUM(K351:K352)</f>
        <v>1000</v>
      </c>
      <c r="L350" s="46">
        <f t="shared" si="1852"/>
        <v>0</v>
      </c>
      <c r="M350" s="46">
        <f t="shared" si="1852"/>
        <v>0</v>
      </c>
      <c r="N350" s="46">
        <f t="shared" si="1852"/>
        <v>0</v>
      </c>
      <c r="O350" s="46">
        <f t="shared" si="1852"/>
        <v>150.44999999999999</v>
      </c>
      <c r="P350" s="46">
        <f t="shared" si="1852"/>
        <v>0</v>
      </c>
      <c r="Q350" s="46">
        <f t="shared" si="1852"/>
        <v>0</v>
      </c>
      <c r="R350" s="46">
        <f t="shared" si="1852"/>
        <v>150.44999999999999</v>
      </c>
      <c r="S350" s="46">
        <f t="shared" si="1852"/>
        <v>0</v>
      </c>
      <c r="T350" s="46">
        <f t="shared" si="1852"/>
        <v>0</v>
      </c>
      <c r="U350" s="46">
        <f t="shared" si="1852"/>
        <v>849.55</v>
      </c>
      <c r="V350" s="46">
        <f t="shared" si="1852"/>
        <v>0</v>
      </c>
      <c r="W350" s="46">
        <f t="shared" si="1852"/>
        <v>0</v>
      </c>
      <c r="X350" s="50">
        <f t="shared" ref="X350:Y350" si="1853">IF(O350&gt;0,O350/K350,0)</f>
        <v>0.15045</v>
      </c>
      <c r="Y350" s="50">
        <f t="shared" si="1853"/>
        <v>0</v>
      </c>
      <c r="Z350" s="50">
        <f t="shared" si="1658"/>
        <v>0</v>
      </c>
      <c r="AA350" s="46">
        <f t="shared" ref="AA350:BW350" si="1854">SUM(AA351:AA352)</f>
        <v>0</v>
      </c>
      <c r="AB350" s="46">
        <f t="shared" si="1854"/>
        <v>0</v>
      </c>
      <c r="AC350" s="46">
        <f t="shared" si="1854"/>
        <v>0</v>
      </c>
      <c r="AD350" s="46">
        <f t="shared" si="1854"/>
        <v>0</v>
      </c>
      <c r="AE350" s="46">
        <f t="shared" si="1854"/>
        <v>0</v>
      </c>
      <c r="AF350" s="46">
        <f t="shared" si="1854"/>
        <v>0</v>
      </c>
      <c r="AG350" s="46">
        <f t="shared" si="1854"/>
        <v>150.44999999999999</v>
      </c>
      <c r="AH350" s="46">
        <f t="shared" si="1854"/>
        <v>0</v>
      </c>
      <c r="AI350" s="46">
        <f t="shared" si="1854"/>
        <v>0</v>
      </c>
      <c r="AJ350" s="46">
        <f t="shared" si="1854"/>
        <v>0</v>
      </c>
      <c r="AK350" s="46">
        <f t="shared" si="1854"/>
        <v>0</v>
      </c>
      <c r="AL350" s="46">
        <f t="shared" si="1854"/>
        <v>0</v>
      </c>
      <c r="AM350" s="46">
        <f t="shared" si="1854"/>
        <v>0</v>
      </c>
      <c r="AN350" s="46">
        <f t="shared" si="1854"/>
        <v>0</v>
      </c>
      <c r="AO350" s="46">
        <f t="shared" si="1854"/>
        <v>0</v>
      </c>
      <c r="AP350" s="46">
        <f t="shared" si="1854"/>
        <v>0</v>
      </c>
      <c r="AQ350" s="46">
        <f t="shared" si="1854"/>
        <v>0</v>
      </c>
      <c r="AR350" s="46">
        <f t="shared" si="1854"/>
        <v>0</v>
      </c>
      <c r="AS350" s="46">
        <f t="shared" si="1854"/>
        <v>0</v>
      </c>
      <c r="AT350" s="46">
        <f t="shared" si="1854"/>
        <v>0</v>
      </c>
      <c r="AU350" s="46">
        <f t="shared" si="1854"/>
        <v>0</v>
      </c>
      <c r="AV350" s="46">
        <f t="shared" si="1854"/>
        <v>0</v>
      </c>
      <c r="AW350" s="46">
        <f t="shared" si="1854"/>
        <v>0</v>
      </c>
      <c r="AX350" s="46">
        <f t="shared" si="1854"/>
        <v>0</v>
      </c>
      <c r="AY350" s="46">
        <f t="shared" si="1854"/>
        <v>0</v>
      </c>
      <c r="AZ350" s="46">
        <f t="shared" si="1854"/>
        <v>0</v>
      </c>
      <c r="BA350" s="46">
        <f t="shared" si="1854"/>
        <v>0</v>
      </c>
      <c r="BB350" s="46">
        <f t="shared" si="1854"/>
        <v>0</v>
      </c>
      <c r="BC350" s="46">
        <f t="shared" si="1854"/>
        <v>0</v>
      </c>
      <c r="BD350" s="46">
        <f t="shared" si="1854"/>
        <v>0</v>
      </c>
      <c r="BE350" s="46">
        <f t="shared" si="1854"/>
        <v>0</v>
      </c>
      <c r="BF350" s="46">
        <f t="shared" si="1854"/>
        <v>0</v>
      </c>
      <c r="BG350" s="46">
        <f t="shared" si="1854"/>
        <v>0</v>
      </c>
      <c r="BH350" s="46">
        <f t="shared" si="1854"/>
        <v>0</v>
      </c>
      <c r="BI350" s="46">
        <f t="shared" si="1854"/>
        <v>0</v>
      </c>
      <c r="BJ350" s="46">
        <f t="shared" si="1854"/>
        <v>0</v>
      </c>
      <c r="BK350" s="46">
        <f t="shared" si="1854"/>
        <v>0</v>
      </c>
      <c r="BL350" s="46">
        <f t="shared" si="1854"/>
        <v>0</v>
      </c>
      <c r="BM350" s="46">
        <f t="shared" si="1854"/>
        <v>0</v>
      </c>
      <c r="BN350" s="46">
        <f t="shared" si="1854"/>
        <v>150.44999999999999</v>
      </c>
      <c r="BO350" s="46">
        <f t="shared" si="1854"/>
        <v>0</v>
      </c>
      <c r="BP350" s="46">
        <f t="shared" si="1854"/>
        <v>150.44999999999999</v>
      </c>
      <c r="BQ350" s="46">
        <f t="shared" si="1854"/>
        <v>849.55</v>
      </c>
      <c r="BR350" s="46">
        <f t="shared" si="1854"/>
        <v>0</v>
      </c>
      <c r="BS350" s="46">
        <f t="shared" si="1854"/>
        <v>849.55</v>
      </c>
      <c r="BT350" s="46">
        <f t="shared" si="1854"/>
        <v>0</v>
      </c>
      <c r="BU350" s="46">
        <f t="shared" si="1854"/>
        <v>150.44999999999999</v>
      </c>
      <c r="BV350" s="46">
        <f t="shared" si="1854"/>
        <v>849.55</v>
      </c>
      <c r="BW350" s="46">
        <f t="shared" si="1854"/>
        <v>1000</v>
      </c>
      <c r="BX350" s="51"/>
      <c r="BY350" s="51"/>
      <c r="BZ350" s="51"/>
      <c r="CA350" s="51"/>
      <c r="CB350" s="51"/>
      <c r="CC350" s="51"/>
      <c r="CD350" s="51"/>
      <c r="CE350" s="51"/>
      <c r="CF350" s="51"/>
      <c r="CG350" s="51"/>
    </row>
    <row r="351" spans="1:85" ht="15.75" customHeight="1">
      <c r="A351" s="104" t="s">
        <v>483</v>
      </c>
      <c r="B351" s="103"/>
      <c r="C351" s="68" t="s">
        <v>69</v>
      </c>
      <c r="D351" s="70" t="s">
        <v>70</v>
      </c>
      <c r="E351" s="56">
        <v>2600</v>
      </c>
      <c r="F351" s="99">
        <v>0</v>
      </c>
      <c r="G351" s="58">
        <f t="shared" ref="G351:G352" si="1855">E351-F351</f>
        <v>2600</v>
      </c>
      <c r="H351" s="99">
        <v>0</v>
      </c>
      <c r="I351" s="59">
        <f t="shared" si="1582"/>
        <v>0.19230769230769232</v>
      </c>
      <c r="J351" s="59">
        <f t="shared" si="1583"/>
        <v>0</v>
      </c>
      <c r="K351" s="74">
        <f>500</f>
        <v>500</v>
      </c>
      <c r="L351" s="74">
        <v>0</v>
      </c>
      <c r="M351" s="74">
        <v>0</v>
      </c>
      <c r="N351" s="74">
        <v>0</v>
      </c>
      <c r="O351" s="61">
        <f t="shared" ref="O351:Q351" si="1856">AA351+AD351+AG351+AJ351+AM351+AP351+AS351+AV351+AY351+BB351+BE351+BH351</f>
        <v>0</v>
      </c>
      <c r="P351" s="61">
        <f t="shared" si="1856"/>
        <v>0</v>
      </c>
      <c r="Q351" s="61">
        <f t="shared" si="1856"/>
        <v>0</v>
      </c>
      <c r="R351" s="61">
        <f t="shared" ref="R351:T351" si="1857">IF(BK351=0,SUM(AA351+AD351+AG351+AJ351+AM351+AP351+AS351+AV351+AY351+BB351+BE351+BH351),BK351)</f>
        <v>0</v>
      </c>
      <c r="S351" s="61">
        <f t="shared" si="1857"/>
        <v>0</v>
      </c>
      <c r="T351" s="61">
        <f t="shared" si="1857"/>
        <v>0</v>
      </c>
      <c r="U351" s="62">
        <f t="shared" ref="U351:U352" si="1858">K351-O351</f>
        <v>500</v>
      </c>
      <c r="V351" s="63">
        <f t="shared" ref="V351:V352" si="1859">L351-M351-S351</f>
        <v>0</v>
      </c>
      <c r="W351" s="63">
        <f t="shared" ref="W351:W352" si="1860">N351-Q351</f>
        <v>0</v>
      </c>
      <c r="X351" s="64">
        <f t="shared" ref="X351:Y351" si="1861">IF(O351&gt;0,O351/K351,0)</f>
        <v>0</v>
      </c>
      <c r="Y351" s="64">
        <f t="shared" si="1861"/>
        <v>0</v>
      </c>
      <c r="Z351" s="64">
        <f t="shared" si="1658"/>
        <v>0</v>
      </c>
      <c r="AA351" s="65"/>
      <c r="AB351" s="65"/>
      <c r="AC351" s="65"/>
      <c r="AD351" s="65"/>
      <c r="AE351" s="66"/>
      <c r="AF351" s="66"/>
      <c r="AG351" s="66"/>
      <c r="AH351" s="66"/>
      <c r="AI351" s="65"/>
      <c r="AJ351" s="65"/>
      <c r="AK351" s="65"/>
      <c r="AL351" s="65"/>
      <c r="AM351" s="65"/>
      <c r="AN351" s="65"/>
      <c r="AO351" s="65"/>
      <c r="AP351" s="65"/>
      <c r="AQ351" s="65"/>
      <c r="AR351" s="65"/>
      <c r="AS351" s="65"/>
      <c r="AT351" s="65"/>
      <c r="AU351" s="65"/>
      <c r="AV351" s="65"/>
      <c r="AW351" s="65"/>
      <c r="AX351" s="65"/>
      <c r="AY351" s="65"/>
      <c r="AZ351" s="65"/>
      <c r="BA351" s="65"/>
      <c r="BB351" s="65"/>
      <c r="BC351" s="65"/>
      <c r="BD351" s="65"/>
      <c r="BE351" s="65"/>
      <c r="BF351" s="65"/>
      <c r="BG351" s="65"/>
      <c r="BH351" s="65"/>
      <c r="BI351" s="65"/>
      <c r="BJ351" s="65"/>
      <c r="BK351" s="65">
        <v>0</v>
      </c>
      <c r="BL351" s="65">
        <v>0</v>
      </c>
      <c r="BM351" s="65">
        <v>0</v>
      </c>
      <c r="BN351" s="65">
        <f t="shared" ref="BN351:BN352" si="1862">IF(O351-BK351&gt;0,O351-BK351,0)</f>
        <v>0</v>
      </c>
      <c r="BO351" s="67">
        <f t="shared" ref="BO351:BO352" si="1863">IF(Q351-BM351&gt;0,Q351-BM351,0)</f>
        <v>0</v>
      </c>
      <c r="BP351" s="65">
        <f t="shared" ref="BP351:BP352" si="1864">IF(BN351+BO351&gt;0,BN351+BO351,0)</f>
        <v>0</v>
      </c>
      <c r="BQ351" s="65">
        <f t="shared" ref="BQ351:BQ352" si="1865">IF(U351=0,0,U351)</f>
        <v>500</v>
      </c>
      <c r="BR351" s="65">
        <f t="shared" ref="BR351:BR352" si="1866">IF(W351=0,0,W351)</f>
        <v>0</v>
      </c>
      <c r="BS351" s="65">
        <f t="shared" ref="BS351:BS352" si="1867">IF(BQ351+BR351&gt;0,BQ351+BR351,0)</f>
        <v>500</v>
      </c>
      <c r="BT351" s="65">
        <f t="shared" ref="BT351:BT352" si="1868">IF(V351&gt;0,V351,0)</f>
        <v>0</v>
      </c>
      <c r="BU351" s="65">
        <f t="shared" ref="BU351:BU352" si="1869">IF(BP351=0,0,BP351)</f>
        <v>0</v>
      </c>
      <c r="BV351" s="65">
        <f t="shared" ref="BV351:BV352" si="1870">IF(BS351=0,0,BS351)</f>
        <v>500</v>
      </c>
      <c r="BW351" s="65">
        <f t="shared" ref="BW351:BW352" si="1871">IF(BP351+BT351+BV351&gt;0,BP351+BT351+BV351,0)</f>
        <v>500</v>
      </c>
      <c r="BX351" s="6"/>
      <c r="BY351" s="6"/>
      <c r="BZ351" s="6"/>
      <c r="CA351" s="6"/>
      <c r="CB351" s="6"/>
      <c r="CC351" s="6"/>
      <c r="CD351" s="6"/>
      <c r="CE351" s="6"/>
      <c r="CF351" s="6"/>
      <c r="CG351" s="6"/>
    </row>
    <row r="352" spans="1:85" ht="15.75" customHeight="1">
      <c r="A352" s="104" t="s">
        <v>484</v>
      </c>
      <c r="B352" s="103"/>
      <c r="C352" s="68" t="s">
        <v>73</v>
      </c>
      <c r="D352" s="70" t="s">
        <v>74</v>
      </c>
      <c r="E352" s="56">
        <v>5337.82</v>
      </c>
      <c r="F352" s="99">
        <v>0</v>
      </c>
      <c r="G352" s="58">
        <f t="shared" si="1855"/>
        <v>5337.82</v>
      </c>
      <c r="H352" s="99">
        <v>0</v>
      </c>
      <c r="I352" s="59">
        <f t="shared" si="1582"/>
        <v>9.3671199103753974E-2</v>
      </c>
      <c r="J352" s="59">
        <f t="shared" si="1583"/>
        <v>2.8185663810319568E-2</v>
      </c>
      <c r="K352" s="74">
        <f>1000-500</f>
        <v>500</v>
      </c>
      <c r="L352" s="74">
        <v>0</v>
      </c>
      <c r="M352" s="74">
        <v>0</v>
      </c>
      <c r="N352" s="74">
        <v>0</v>
      </c>
      <c r="O352" s="63">
        <f t="shared" ref="O352:Q352" si="1872">AA352+AD352+AG352+AJ352+AM352+AP352+AS352+AV352+AY352+BB352+BE352+BH352</f>
        <v>150.44999999999999</v>
      </c>
      <c r="P352" s="61">
        <f t="shared" si="1872"/>
        <v>0</v>
      </c>
      <c r="Q352" s="61">
        <f t="shared" si="1872"/>
        <v>0</v>
      </c>
      <c r="R352" s="61">
        <f t="shared" ref="R352:T352" si="1873">IF(BK352=0,SUM(AA352+AD352+AG352+AJ352+AM352+AP352+AS352+AV352+AY352+BB352+BE352+BH352),BK352)</f>
        <v>150.44999999999999</v>
      </c>
      <c r="S352" s="61">
        <f t="shared" si="1873"/>
        <v>0</v>
      </c>
      <c r="T352" s="61">
        <f t="shared" si="1873"/>
        <v>0</v>
      </c>
      <c r="U352" s="62">
        <f t="shared" si="1858"/>
        <v>349.55</v>
      </c>
      <c r="V352" s="63">
        <f t="shared" si="1859"/>
        <v>0</v>
      </c>
      <c r="W352" s="63">
        <f t="shared" si="1860"/>
        <v>0</v>
      </c>
      <c r="X352" s="64">
        <f t="shared" ref="X352:Y352" si="1874">IF(O352&gt;0,O352/K352,0)</f>
        <v>0.3009</v>
      </c>
      <c r="Y352" s="64">
        <f t="shared" si="1874"/>
        <v>0</v>
      </c>
      <c r="Z352" s="64">
        <f t="shared" si="1658"/>
        <v>0</v>
      </c>
      <c r="AA352" s="65"/>
      <c r="AB352" s="65"/>
      <c r="AC352" s="65"/>
      <c r="AD352" s="65"/>
      <c r="AE352" s="66"/>
      <c r="AF352" s="66"/>
      <c r="AG352" s="113">
        <v>150.44999999999999</v>
      </c>
      <c r="AH352" s="66"/>
      <c r="AI352" s="65"/>
      <c r="AJ352" s="65"/>
      <c r="AK352" s="65"/>
      <c r="AL352" s="65"/>
      <c r="AM352" s="65"/>
      <c r="AN352" s="65"/>
      <c r="AO352" s="65"/>
      <c r="AP352" s="65"/>
      <c r="AQ352" s="65"/>
      <c r="AR352" s="65"/>
      <c r="AS352" s="65"/>
      <c r="AT352" s="65"/>
      <c r="AU352" s="65"/>
      <c r="AV352" s="65"/>
      <c r="AW352" s="65"/>
      <c r="AX352" s="65"/>
      <c r="AY352" s="65"/>
      <c r="AZ352" s="65"/>
      <c r="BA352" s="65"/>
      <c r="BB352" s="65"/>
      <c r="BC352" s="65"/>
      <c r="BD352" s="65"/>
      <c r="BE352" s="65"/>
      <c r="BF352" s="65"/>
      <c r="BG352" s="65"/>
      <c r="BH352" s="65"/>
      <c r="BI352" s="65"/>
      <c r="BJ352" s="65"/>
      <c r="BK352" s="65">
        <v>0</v>
      </c>
      <c r="BL352" s="65">
        <v>0</v>
      </c>
      <c r="BM352" s="65">
        <v>0</v>
      </c>
      <c r="BN352" s="65">
        <f t="shared" si="1862"/>
        <v>150.44999999999999</v>
      </c>
      <c r="BO352" s="67">
        <f t="shared" si="1863"/>
        <v>0</v>
      </c>
      <c r="BP352" s="65">
        <f t="shared" si="1864"/>
        <v>150.44999999999999</v>
      </c>
      <c r="BQ352" s="65">
        <f t="shared" si="1865"/>
        <v>349.55</v>
      </c>
      <c r="BR352" s="65">
        <f t="shared" si="1866"/>
        <v>0</v>
      </c>
      <c r="BS352" s="65">
        <f t="shared" si="1867"/>
        <v>349.55</v>
      </c>
      <c r="BT352" s="65">
        <f t="shared" si="1868"/>
        <v>0</v>
      </c>
      <c r="BU352" s="65">
        <f t="shared" si="1869"/>
        <v>150.44999999999999</v>
      </c>
      <c r="BV352" s="65">
        <f t="shared" si="1870"/>
        <v>349.55</v>
      </c>
      <c r="BW352" s="65">
        <f t="shared" si="1871"/>
        <v>500</v>
      </c>
      <c r="BX352" s="6"/>
      <c r="BY352" s="6"/>
      <c r="BZ352" s="6"/>
      <c r="CA352" s="6"/>
      <c r="CB352" s="6"/>
      <c r="CC352" s="6"/>
      <c r="CD352" s="6"/>
      <c r="CE352" s="6"/>
      <c r="CF352" s="6"/>
      <c r="CG352" s="6"/>
    </row>
    <row r="353" spans="1:85" ht="15.75">
      <c r="A353" s="75"/>
      <c r="B353" s="76"/>
      <c r="C353" s="77"/>
      <c r="D353" s="78" t="s">
        <v>83</v>
      </c>
      <c r="E353" s="45">
        <f t="shared" ref="E353:H353" si="1875">SUM(E354)</f>
        <v>3066.13</v>
      </c>
      <c r="F353" s="46">
        <f t="shared" si="1875"/>
        <v>0</v>
      </c>
      <c r="G353" s="46">
        <f t="shared" si="1875"/>
        <v>3066.13</v>
      </c>
      <c r="H353" s="46">
        <f t="shared" si="1875"/>
        <v>0</v>
      </c>
      <c r="I353" s="47">
        <f t="shared" si="1582"/>
        <v>0</v>
      </c>
      <c r="J353" s="47">
        <f t="shared" si="1583"/>
        <v>0</v>
      </c>
      <c r="K353" s="46">
        <f t="shared" ref="K353:W353" si="1876">SUM(K354)</f>
        <v>0</v>
      </c>
      <c r="L353" s="46">
        <f t="shared" si="1876"/>
        <v>0</v>
      </c>
      <c r="M353" s="46">
        <f t="shared" si="1876"/>
        <v>0</v>
      </c>
      <c r="N353" s="46">
        <f t="shared" si="1876"/>
        <v>0</v>
      </c>
      <c r="O353" s="46">
        <f t="shared" si="1876"/>
        <v>0</v>
      </c>
      <c r="P353" s="46">
        <f t="shared" si="1876"/>
        <v>0</v>
      </c>
      <c r="Q353" s="46">
        <f t="shared" si="1876"/>
        <v>0</v>
      </c>
      <c r="R353" s="46">
        <f t="shared" si="1876"/>
        <v>0</v>
      </c>
      <c r="S353" s="46">
        <f t="shared" si="1876"/>
        <v>0</v>
      </c>
      <c r="T353" s="46">
        <f t="shared" si="1876"/>
        <v>0</v>
      </c>
      <c r="U353" s="46">
        <f t="shared" si="1876"/>
        <v>0</v>
      </c>
      <c r="V353" s="46">
        <f t="shared" si="1876"/>
        <v>0</v>
      </c>
      <c r="W353" s="46">
        <f t="shared" si="1876"/>
        <v>0</v>
      </c>
      <c r="X353" s="50">
        <f t="shared" ref="X353:Y353" si="1877">IF(O353&gt;0,O353/K353,0)</f>
        <v>0</v>
      </c>
      <c r="Y353" s="50">
        <f t="shared" si="1877"/>
        <v>0</v>
      </c>
      <c r="Z353" s="50">
        <f t="shared" si="1658"/>
        <v>0</v>
      </c>
      <c r="AA353" s="46">
        <f t="shared" ref="AA353:BW353" si="1878">SUM(AA354)</f>
        <v>0</v>
      </c>
      <c r="AB353" s="46">
        <f t="shared" si="1878"/>
        <v>0</v>
      </c>
      <c r="AC353" s="46">
        <f t="shared" si="1878"/>
        <v>0</v>
      </c>
      <c r="AD353" s="46">
        <f t="shared" si="1878"/>
        <v>0</v>
      </c>
      <c r="AE353" s="46">
        <f t="shared" si="1878"/>
        <v>0</v>
      </c>
      <c r="AF353" s="46">
        <f t="shared" si="1878"/>
        <v>0</v>
      </c>
      <c r="AG353" s="46">
        <f t="shared" si="1878"/>
        <v>0</v>
      </c>
      <c r="AH353" s="46">
        <f t="shared" si="1878"/>
        <v>0</v>
      </c>
      <c r="AI353" s="46">
        <f t="shared" si="1878"/>
        <v>0</v>
      </c>
      <c r="AJ353" s="46">
        <f t="shared" si="1878"/>
        <v>0</v>
      </c>
      <c r="AK353" s="46">
        <f t="shared" si="1878"/>
        <v>0</v>
      </c>
      <c r="AL353" s="46">
        <f t="shared" si="1878"/>
        <v>0</v>
      </c>
      <c r="AM353" s="46">
        <f t="shared" si="1878"/>
        <v>0</v>
      </c>
      <c r="AN353" s="46">
        <f t="shared" si="1878"/>
        <v>0</v>
      </c>
      <c r="AO353" s="46">
        <f t="shared" si="1878"/>
        <v>0</v>
      </c>
      <c r="AP353" s="46">
        <f t="shared" si="1878"/>
        <v>0</v>
      </c>
      <c r="AQ353" s="46">
        <f t="shared" si="1878"/>
        <v>0</v>
      </c>
      <c r="AR353" s="46">
        <f t="shared" si="1878"/>
        <v>0</v>
      </c>
      <c r="AS353" s="46">
        <f t="shared" si="1878"/>
        <v>0</v>
      </c>
      <c r="AT353" s="46">
        <f t="shared" si="1878"/>
        <v>0</v>
      </c>
      <c r="AU353" s="46">
        <f t="shared" si="1878"/>
        <v>0</v>
      </c>
      <c r="AV353" s="46">
        <f t="shared" si="1878"/>
        <v>0</v>
      </c>
      <c r="AW353" s="46">
        <f t="shared" si="1878"/>
        <v>0</v>
      </c>
      <c r="AX353" s="46">
        <f t="shared" si="1878"/>
        <v>0</v>
      </c>
      <c r="AY353" s="46">
        <f t="shared" si="1878"/>
        <v>0</v>
      </c>
      <c r="AZ353" s="46">
        <f t="shared" si="1878"/>
        <v>0</v>
      </c>
      <c r="BA353" s="46">
        <f t="shared" si="1878"/>
        <v>0</v>
      </c>
      <c r="BB353" s="46">
        <f t="shared" si="1878"/>
        <v>0</v>
      </c>
      <c r="BC353" s="46">
        <f t="shared" si="1878"/>
        <v>0</v>
      </c>
      <c r="BD353" s="46">
        <f t="shared" si="1878"/>
        <v>0</v>
      </c>
      <c r="BE353" s="46">
        <f t="shared" si="1878"/>
        <v>0</v>
      </c>
      <c r="BF353" s="46">
        <f t="shared" si="1878"/>
        <v>0</v>
      </c>
      <c r="BG353" s="46">
        <f t="shared" si="1878"/>
        <v>0</v>
      </c>
      <c r="BH353" s="46">
        <f t="shared" si="1878"/>
        <v>0</v>
      </c>
      <c r="BI353" s="46">
        <f t="shared" si="1878"/>
        <v>0</v>
      </c>
      <c r="BJ353" s="46">
        <f t="shared" si="1878"/>
        <v>0</v>
      </c>
      <c r="BK353" s="46">
        <f t="shared" si="1878"/>
        <v>0</v>
      </c>
      <c r="BL353" s="46">
        <f t="shared" si="1878"/>
        <v>0</v>
      </c>
      <c r="BM353" s="46">
        <f t="shared" si="1878"/>
        <v>0</v>
      </c>
      <c r="BN353" s="46">
        <f t="shared" si="1878"/>
        <v>0</v>
      </c>
      <c r="BO353" s="46">
        <f t="shared" si="1878"/>
        <v>0</v>
      </c>
      <c r="BP353" s="46">
        <f t="shared" si="1878"/>
        <v>0</v>
      </c>
      <c r="BQ353" s="46">
        <f t="shared" si="1878"/>
        <v>0</v>
      </c>
      <c r="BR353" s="46">
        <f t="shared" si="1878"/>
        <v>0</v>
      </c>
      <c r="BS353" s="46">
        <f t="shared" si="1878"/>
        <v>0</v>
      </c>
      <c r="BT353" s="46">
        <f t="shared" si="1878"/>
        <v>0</v>
      </c>
      <c r="BU353" s="46">
        <f t="shared" si="1878"/>
        <v>0</v>
      </c>
      <c r="BV353" s="46">
        <f t="shared" si="1878"/>
        <v>0</v>
      </c>
      <c r="BW353" s="46">
        <f t="shared" si="1878"/>
        <v>0</v>
      </c>
      <c r="BX353" s="51"/>
      <c r="BY353" s="51"/>
      <c r="BZ353" s="51"/>
      <c r="CA353" s="51"/>
      <c r="CB353" s="51"/>
      <c r="CC353" s="51"/>
      <c r="CD353" s="51"/>
      <c r="CE353" s="51"/>
      <c r="CF353" s="51"/>
      <c r="CG353" s="51"/>
    </row>
    <row r="354" spans="1:85" ht="15.75" customHeight="1">
      <c r="A354" s="68"/>
      <c r="B354" s="103"/>
      <c r="C354" s="68" t="s">
        <v>90</v>
      </c>
      <c r="D354" s="70" t="s">
        <v>91</v>
      </c>
      <c r="E354" s="56">
        <v>3066.13</v>
      </c>
      <c r="F354" s="99">
        <v>0</v>
      </c>
      <c r="G354" s="58">
        <f>E354-F354</f>
        <v>3066.13</v>
      </c>
      <c r="H354" s="99">
        <v>0</v>
      </c>
      <c r="I354" s="59">
        <f t="shared" si="1582"/>
        <v>0</v>
      </c>
      <c r="J354" s="59">
        <f t="shared" si="1583"/>
        <v>0</v>
      </c>
      <c r="K354" s="74">
        <v>0</v>
      </c>
      <c r="L354" s="74">
        <v>0</v>
      </c>
      <c r="M354" s="74">
        <v>0</v>
      </c>
      <c r="N354" s="74">
        <v>0</v>
      </c>
      <c r="O354" s="61">
        <f t="shared" ref="O354:Q354" si="1879">AA354+AD354+AG354+AJ354+AM354+AP354+AS354+AV354+AY354+BB354+BE354+BH354</f>
        <v>0</v>
      </c>
      <c r="P354" s="61">
        <f t="shared" si="1879"/>
        <v>0</v>
      </c>
      <c r="Q354" s="61">
        <f t="shared" si="1879"/>
        <v>0</v>
      </c>
      <c r="R354" s="61">
        <f t="shared" ref="R354:T354" si="1880">IF(BK354=0,SUM(AA354+AD354+AG354+AJ354+AM354+AP354+AS354+AV354+AY354+BB354+BE354+BH354),BK354)</f>
        <v>0</v>
      </c>
      <c r="S354" s="61">
        <f t="shared" si="1880"/>
        <v>0</v>
      </c>
      <c r="T354" s="61">
        <f t="shared" si="1880"/>
        <v>0</v>
      </c>
      <c r="U354" s="63">
        <f>K354-O354</f>
        <v>0</v>
      </c>
      <c r="V354" s="63">
        <f>L354-M354-S354</f>
        <v>0</v>
      </c>
      <c r="W354" s="63">
        <f>N354-Q354</f>
        <v>0</v>
      </c>
      <c r="X354" s="64">
        <f t="shared" ref="X354:Y354" si="1881">IF(O354&gt;0,O354/K354,0)</f>
        <v>0</v>
      </c>
      <c r="Y354" s="64">
        <f t="shared" si="1881"/>
        <v>0</v>
      </c>
      <c r="Z354" s="64">
        <f t="shared" si="1658"/>
        <v>0</v>
      </c>
      <c r="AA354" s="65"/>
      <c r="AB354" s="65"/>
      <c r="AC354" s="65"/>
      <c r="AD354" s="65"/>
      <c r="AE354" s="66"/>
      <c r="AF354" s="66"/>
      <c r="AG354" s="66"/>
      <c r="AH354" s="66"/>
      <c r="AI354" s="65"/>
      <c r="AJ354" s="65"/>
      <c r="AK354" s="65"/>
      <c r="AL354" s="65"/>
      <c r="AM354" s="65"/>
      <c r="AN354" s="65"/>
      <c r="AO354" s="65"/>
      <c r="AP354" s="65"/>
      <c r="AQ354" s="65"/>
      <c r="AR354" s="65"/>
      <c r="AS354" s="65"/>
      <c r="AT354" s="65"/>
      <c r="AU354" s="65"/>
      <c r="AV354" s="65"/>
      <c r="AW354" s="65"/>
      <c r="AX354" s="65"/>
      <c r="AY354" s="65"/>
      <c r="AZ354" s="65"/>
      <c r="BA354" s="65"/>
      <c r="BB354" s="65"/>
      <c r="BC354" s="65"/>
      <c r="BD354" s="65"/>
      <c r="BE354" s="65"/>
      <c r="BF354" s="65"/>
      <c r="BG354" s="65"/>
      <c r="BH354" s="65"/>
      <c r="BI354" s="65"/>
      <c r="BJ354" s="65"/>
      <c r="BK354" s="65">
        <v>0</v>
      </c>
      <c r="BL354" s="65">
        <v>0</v>
      </c>
      <c r="BM354" s="65">
        <v>0</v>
      </c>
      <c r="BN354" s="65">
        <f>IF(O354-BK354&gt;0,O354-BK354,0)</f>
        <v>0</v>
      </c>
      <c r="BO354" s="67">
        <f>IF(Q354-BM354&gt;0,Q354-BM354,0)</f>
        <v>0</v>
      </c>
      <c r="BP354" s="65">
        <f>IF(BN354+BO354&gt;0,BN354+BO354,0)</f>
        <v>0</v>
      </c>
      <c r="BQ354" s="65">
        <f>IF(U354=0,0,U354)</f>
        <v>0</v>
      </c>
      <c r="BR354" s="65">
        <f>IF(W354=0,0,W354)</f>
        <v>0</v>
      </c>
      <c r="BS354" s="65">
        <f>IF(BQ354+BR354&gt;0,BQ354+BR354,0)</f>
        <v>0</v>
      </c>
      <c r="BT354" s="65">
        <f>IF(V354&gt;0,V354,0)</f>
        <v>0</v>
      </c>
      <c r="BU354" s="65">
        <f>IF(BP354=0,0,BP354)</f>
        <v>0</v>
      </c>
      <c r="BV354" s="65">
        <f>IF(BS354=0,0,BS354)</f>
        <v>0</v>
      </c>
      <c r="BW354" s="65">
        <f>IF(BP354+BT354+BV354&gt;0,BP354+BT354+BV354,0)</f>
        <v>0</v>
      </c>
      <c r="BX354" s="6"/>
      <c r="BY354" s="6"/>
      <c r="BZ354" s="6"/>
      <c r="CA354" s="6"/>
      <c r="CB354" s="6"/>
      <c r="CC354" s="6"/>
      <c r="CD354" s="6"/>
      <c r="CE354" s="6"/>
      <c r="CF354" s="6"/>
      <c r="CG354" s="6"/>
    </row>
    <row r="355" spans="1:85" ht="15.75" customHeight="1">
      <c r="A355" s="260"/>
      <c r="B355" s="261"/>
      <c r="C355" s="262"/>
      <c r="D355" s="78" t="s">
        <v>339</v>
      </c>
      <c r="E355" s="45">
        <f t="shared" ref="E355:H355" si="1882">E356</f>
        <v>7000</v>
      </c>
      <c r="F355" s="46">
        <f t="shared" si="1882"/>
        <v>0</v>
      </c>
      <c r="G355" s="46">
        <f t="shared" si="1882"/>
        <v>7000</v>
      </c>
      <c r="H355" s="46">
        <f t="shared" si="1882"/>
        <v>0</v>
      </c>
      <c r="I355" s="47">
        <f t="shared" si="1582"/>
        <v>0</v>
      </c>
      <c r="J355" s="47">
        <f t="shared" si="1583"/>
        <v>0</v>
      </c>
      <c r="K355" s="46">
        <f t="shared" ref="K355:W355" si="1883">K356</f>
        <v>0</v>
      </c>
      <c r="L355" s="46">
        <f t="shared" si="1883"/>
        <v>0</v>
      </c>
      <c r="M355" s="46">
        <f t="shared" si="1883"/>
        <v>0</v>
      </c>
      <c r="N355" s="46">
        <f t="shared" si="1883"/>
        <v>0</v>
      </c>
      <c r="O355" s="46">
        <f t="shared" si="1883"/>
        <v>0</v>
      </c>
      <c r="P355" s="46">
        <f t="shared" si="1883"/>
        <v>0</v>
      </c>
      <c r="Q355" s="46">
        <f t="shared" si="1883"/>
        <v>0</v>
      </c>
      <c r="R355" s="46">
        <f t="shared" si="1883"/>
        <v>0</v>
      </c>
      <c r="S355" s="46">
        <f t="shared" si="1883"/>
        <v>0</v>
      </c>
      <c r="T355" s="46">
        <f t="shared" si="1883"/>
        <v>0</v>
      </c>
      <c r="U355" s="46">
        <f t="shared" si="1883"/>
        <v>0</v>
      </c>
      <c r="V355" s="46">
        <f t="shared" si="1883"/>
        <v>0</v>
      </c>
      <c r="W355" s="46">
        <f t="shared" si="1883"/>
        <v>0</v>
      </c>
      <c r="X355" s="50">
        <f t="shared" ref="X355:Y355" si="1884">IF(O355&gt;0,O355/K355,0)</f>
        <v>0</v>
      </c>
      <c r="Y355" s="50">
        <f t="shared" si="1884"/>
        <v>0</v>
      </c>
      <c r="Z355" s="50">
        <f t="shared" si="1658"/>
        <v>0</v>
      </c>
      <c r="AA355" s="46">
        <f t="shared" ref="AA355:BW355" si="1885">AA356</f>
        <v>0</v>
      </c>
      <c r="AB355" s="46">
        <f t="shared" si="1885"/>
        <v>0</v>
      </c>
      <c r="AC355" s="46">
        <f t="shared" si="1885"/>
        <v>0</v>
      </c>
      <c r="AD355" s="46">
        <f t="shared" si="1885"/>
        <v>0</v>
      </c>
      <c r="AE355" s="46">
        <f t="shared" si="1885"/>
        <v>0</v>
      </c>
      <c r="AF355" s="46">
        <f t="shared" si="1885"/>
        <v>0</v>
      </c>
      <c r="AG355" s="46">
        <f t="shared" si="1885"/>
        <v>0</v>
      </c>
      <c r="AH355" s="46">
        <f t="shared" si="1885"/>
        <v>0</v>
      </c>
      <c r="AI355" s="46">
        <f t="shared" si="1885"/>
        <v>0</v>
      </c>
      <c r="AJ355" s="46">
        <f t="shared" si="1885"/>
        <v>0</v>
      </c>
      <c r="AK355" s="46">
        <f t="shared" si="1885"/>
        <v>0</v>
      </c>
      <c r="AL355" s="46">
        <f t="shared" si="1885"/>
        <v>0</v>
      </c>
      <c r="AM355" s="46">
        <f t="shared" si="1885"/>
        <v>0</v>
      </c>
      <c r="AN355" s="46">
        <f t="shared" si="1885"/>
        <v>0</v>
      </c>
      <c r="AO355" s="46">
        <f t="shared" si="1885"/>
        <v>0</v>
      </c>
      <c r="AP355" s="46">
        <f t="shared" si="1885"/>
        <v>0</v>
      </c>
      <c r="AQ355" s="46">
        <f t="shared" si="1885"/>
        <v>0</v>
      </c>
      <c r="AR355" s="46">
        <f t="shared" si="1885"/>
        <v>0</v>
      </c>
      <c r="AS355" s="46">
        <f t="shared" si="1885"/>
        <v>0</v>
      </c>
      <c r="AT355" s="46">
        <f t="shared" si="1885"/>
        <v>0</v>
      </c>
      <c r="AU355" s="46">
        <f t="shared" si="1885"/>
        <v>0</v>
      </c>
      <c r="AV355" s="46">
        <f t="shared" si="1885"/>
        <v>0</v>
      </c>
      <c r="AW355" s="46">
        <f t="shared" si="1885"/>
        <v>0</v>
      </c>
      <c r="AX355" s="46">
        <f t="shared" si="1885"/>
        <v>0</v>
      </c>
      <c r="AY355" s="46">
        <f t="shared" si="1885"/>
        <v>0</v>
      </c>
      <c r="AZ355" s="46">
        <f t="shared" si="1885"/>
        <v>0</v>
      </c>
      <c r="BA355" s="46">
        <f t="shared" si="1885"/>
        <v>0</v>
      </c>
      <c r="BB355" s="46">
        <f t="shared" si="1885"/>
        <v>0</v>
      </c>
      <c r="BC355" s="46">
        <f t="shared" si="1885"/>
        <v>0</v>
      </c>
      <c r="BD355" s="46">
        <f t="shared" si="1885"/>
        <v>0</v>
      </c>
      <c r="BE355" s="46">
        <f t="shared" si="1885"/>
        <v>0</v>
      </c>
      <c r="BF355" s="46">
        <f t="shared" si="1885"/>
        <v>0</v>
      </c>
      <c r="BG355" s="46">
        <f t="shared" si="1885"/>
        <v>0</v>
      </c>
      <c r="BH355" s="46">
        <f t="shared" si="1885"/>
        <v>0</v>
      </c>
      <c r="BI355" s="46">
        <f t="shared" si="1885"/>
        <v>0</v>
      </c>
      <c r="BJ355" s="46">
        <f t="shared" si="1885"/>
        <v>0</v>
      </c>
      <c r="BK355" s="332">
        <f t="shared" si="1885"/>
        <v>0</v>
      </c>
      <c r="BL355" s="332">
        <f t="shared" si="1885"/>
        <v>0</v>
      </c>
      <c r="BM355" s="332">
        <f t="shared" si="1885"/>
        <v>0</v>
      </c>
      <c r="BN355" s="46">
        <f t="shared" si="1885"/>
        <v>0</v>
      </c>
      <c r="BO355" s="46">
        <f t="shared" si="1885"/>
        <v>0</v>
      </c>
      <c r="BP355" s="46">
        <f t="shared" si="1885"/>
        <v>0</v>
      </c>
      <c r="BQ355" s="46">
        <f t="shared" si="1885"/>
        <v>0</v>
      </c>
      <c r="BR355" s="46">
        <f t="shared" si="1885"/>
        <v>0</v>
      </c>
      <c r="BS355" s="46">
        <f t="shared" si="1885"/>
        <v>0</v>
      </c>
      <c r="BT355" s="46">
        <f t="shared" si="1885"/>
        <v>0</v>
      </c>
      <c r="BU355" s="46">
        <f t="shared" si="1885"/>
        <v>0</v>
      </c>
      <c r="BV355" s="46">
        <f t="shared" si="1885"/>
        <v>0</v>
      </c>
      <c r="BW355" s="46">
        <f t="shared" si="1885"/>
        <v>0</v>
      </c>
      <c r="BX355" s="6"/>
      <c r="BY355" s="6"/>
      <c r="BZ355" s="6"/>
      <c r="CA355" s="6"/>
      <c r="CB355" s="6"/>
      <c r="CC355" s="6"/>
      <c r="CD355" s="6"/>
      <c r="CE355" s="6"/>
      <c r="CF355" s="6"/>
      <c r="CG355" s="6"/>
    </row>
    <row r="356" spans="1:85" ht="15.75" customHeight="1">
      <c r="A356" s="68"/>
      <c r="B356" s="103"/>
      <c r="C356" s="68" t="s">
        <v>340</v>
      </c>
      <c r="D356" s="171" t="s">
        <v>341</v>
      </c>
      <c r="E356" s="56">
        <v>7000</v>
      </c>
      <c r="F356" s="99">
        <v>0</v>
      </c>
      <c r="G356" s="58">
        <f>E356-F356</f>
        <v>7000</v>
      </c>
      <c r="H356" s="99">
        <v>0</v>
      </c>
      <c r="I356" s="59">
        <f t="shared" si="1582"/>
        <v>0</v>
      </c>
      <c r="J356" s="59">
        <f t="shared" si="1583"/>
        <v>0</v>
      </c>
      <c r="K356" s="74">
        <v>0</v>
      </c>
      <c r="L356" s="74">
        <v>0</v>
      </c>
      <c r="M356" s="74">
        <v>0</v>
      </c>
      <c r="N356" s="74">
        <v>0</v>
      </c>
      <c r="O356" s="61">
        <f t="shared" ref="O356:Q356" si="1886">AA356+AD356+AG356+AJ356+AM356+AP356+AS356+AV356+AY356+BB356+BE356+BH356</f>
        <v>0</v>
      </c>
      <c r="P356" s="61">
        <f t="shared" si="1886"/>
        <v>0</v>
      </c>
      <c r="Q356" s="61">
        <f t="shared" si="1886"/>
        <v>0</v>
      </c>
      <c r="R356" s="61">
        <f t="shared" ref="R356:T356" si="1887">IF(BK356=0,SUM(AA356+AD356+AG356+AJ356+AM356+AP356+AS356+AV356+AY356+BB356+BE356+BH356),BK356)</f>
        <v>0</v>
      </c>
      <c r="S356" s="61">
        <f t="shared" si="1887"/>
        <v>0</v>
      </c>
      <c r="T356" s="61">
        <f t="shared" si="1887"/>
        <v>0</v>
      </c>
      <c r="U356" s="63">
        <f>K356-O356</f>
        <v>0</v>
      </c>
      <c r="V356" s="63">
        <f>L356-M356-S356</f>
        <v>0</v>
      </c>
      <c r="W356" s="63">
        <f>N356-Q356</f>
        <v>0</v>
      </c>
      <c r="X356" s="64">
        <f t="shared" ref="X356:Y356" si="1888">IF(O356&gt;0,O356/K356,0)</f>
        <v>0</v>
      </c>
      <c r="Y356" s="64">
        <f t="shared" si="1888"/>
        <v>0</v>
      </c>
      <c r="Z356" s="64">
        <f t="shared" si="1658"/>
        <v>0</v>
      </c>
      <c r="AA356" s="65"/>
      <c r="AB356" s="65"/>
      <c r="AC356" s="65"/>
      <c r="AD356" s="65"/>
      <c r="AE356" s="66"/>
      <c r="AF356" s="66"/>
      <c r="AG356" s="66"/>
      <c r="AH356" s="66"/>
      <c r="AI356" s="65"/>
      <c r="AJ356" s="65"/>
      <c r="AK356" s="65"/>
      <c r="AL356" s="65"/>
      <c r="AM356" s="65"/>
      <c r="AN356" s="65"/>
      <c r="AO356" s="65"/>
      <c r="AP356" s="65"/>
      <c r="AQ356" s="65"/>
      <c r="AR356" s="65"/>
      <c r="AS356" s="65"/>
      <c r="AT356" s="65"/>
      <c r="AU356" s="65"/>
      <c r="AV356" s="65"/>
      <c r="AW356" s="65"/>
      <c r="AX356" s="65"/>
      <c r="AY356" s="65"/>
      <c r="AZ356" s="65"/>
      <c r="BA356" s="65"/>
      <c r="BB356" s="65"/>
      <c r="BC356" s="65"/>
      <c r="BD356" s="65"/>
      <c r="BE356" s="65"/>
      <c r="BF356" s="65"/>
      <c r="BG356" s="65"/>
      <c r="BH356" s="65"/>
      <c r="BI356" s="65"/>
      <c r="BJ356" s="65"/>
      <c r="BK356" s="65">
        <v>0</v>
      </c>
      <c r="BL356" s="65">
        <v>0</v>
      </c>
      <c r="BM356" s="65">
        <v>0</v>
      </c>
      <c r="BN356" s="65">
        <f>IF(O356-BK356&gt;0,O356-BK356,0)</f>
        <v>0</v>
      </c>
      <c r="BO356" s="67">
        <f>IF(Q356-BM356&gt;0,Q356-BM356,0)</f>
        <v>0</v>
      </c>
      <c r="BP356" s="65">
        <f>IF(BN356+BO356&gt;0,BN356+BO356,0)</f>
        <v>0</v>
      </c>
      <c r="BQ356" s="65">
        <f>IF(U356=0,0,U356)</f>
        <v>0</v>
      </c>
      <c r="BR356" s="65">
        <f>IF(W356=0,0,W356)</f>
        <v>0</v>
      </c>
      <c r="BS356" s="65">
        <f>IF(BQ356+BR356&gt;0,BQ356+BR356,0)</f>
        <v>0</v>
      </c>
      <c r="BT356" s="65">
        <f>IF(V356&gt;0,V356,0)</f>
        <v>0</v>
      </c>
      <c r="BU356" s="65">
        <f>IF(BP356=0,0,BP356)</f>
        <v>0</v>
      </c>
      <c r="BV356" s="65">
        <f>IF(BS356=0,0,BS356)</f>
        <v>0</v>
      </c>
      <c r="BW356" s="65">
        <f>IF(BP356+BT356+BV356&gt;0,BP356+BT356+BV356,0)</f>
        <v>0</v>
      </c>
      <c r="BX356" s="6"/>
      <c r="BY356" s="6"/>
      <c r="BZ356" s="6"/>
      <c r="CA356" s="6"/>
      <c r="CB356" s="6"/>
      <c r="CC356" s="6"/>
      <c r="CD356" s="6"/>
      <c r="CE356" s="6"/>
      <c r="CF356" s="6"/>
      <c r="CG356" s="6"/>
    </row>
    <row r="357" spans="1:85" ht="15.75" customHeight="1">
      <c r="A357" s="260"/>
      <c r="B357" s="261"/>
      <c r="C357" s="262"/>
      <c r="D357" s="78" t="s">
        <v>247</v>
      </c>
      <c r="E357" s="45">
        <f t="shared" ref="E357:H357" si="1889">E358</f>
        <v>1400</v>
      </c>
      <c r="F357" s="46">
        <f t="shared" si="1889"/>
        <v>0</v>
      </c>
      <c r="G357" s="46">
        <f t="shared" si="1889"/>
        <v>1400</v>
      </c>
      <c r="H357" s="46">
        <f t="shared" si="1889"/>
        <v>0</v>
      </c>
      <c r="I357" s="47">
        <f t="shared" si="1582"/>
        <v>0</v>
      </c>
      <c r="J357" s="47">
        <f t="shared" si="1583"/>
        <v>0</v>
      </c>
      <c r="K357" s="46">
        <f t="shared" ref="K357:W357" si="1890">K358</f>
        <v>0</v>
      </c>
      <c r="L357" s="46">
        <f t="shared" si="1890"/>
        <v>0</v>
      </c>
      <c r="M357" s="46">
        <f t="shared" si="1890"/>
        <v>0</v>
      </c>
      <c r="N357" s="46">
        <f t="shared" si="1890"/>
        <v>0</v>
      </c>
      <c r="O357" s="46">
        <f t="shared" si="1890"/>
        <v>0</v>
      </c>
      <c r="P357" s="46">
        <f t="shared" si="1890"/>
        <v>0</v>
      </c>
      <c r="Q357" s="46">
        <f t="shared" si="1890"/>
        <v>0</v>
      </c>
      <c r="R357" s="46">
        <f t="shared" si="1890"/>
        <v>0</v>
      </c>
      <c r="S357" s="46">
        <f t="shared" si="1890"/>
        <v>0</v>
      </c>
      <c r="T357" s="46">
        <f t="shared" si="1890"/>
        <v>0</v>
      </c>
      <c r="U357" s="46">
        <f t="shared" si="1890"/>
        <v>0</v>
      </c>
      <c r="V357" s="46">
        <f t="shared" si="1890"/>
        <v>0</v>
      </c>
      <c r="W357" s="46">
        <f t="shared" si="1890"/>
        <v>0</v>
      </c>
      <c r="X357" s="50">
        <f t="shared" ref="X357:Y357" si="1891">IF(O357&gt;0,O357/K357,0)</f>
        <v>0</v>
      </c>
      <c r="Y357" s="50">
        <f t="shared" si="1891"/>
        <v>0</v>
      </c>
      <c r="Z357" s="50">
        <f t="shared" si="1658"/>
        <v>0</v>
      </c>
      <c r="AA357" s="46">
        <f t="shared" ref="AA357:BW357" si="1892">AA358</f>
        <v>0</v>
      </c>
      <c r="AB357" s="46">
        <f t="shared" si="1892"/>
        <v>0</v>
      </c>
      <c r="AC357" s="46">
        <f t="shared" si="1892"/>
        <v>0</v>
      </c>
      <c r="AD357" s="46">
        <f t="shared" si="1892"/>
        <v>0</v>
      </c>
      <c r="AE357" s="46">
        <f t="shared" si="1892"/>
        <v>0</v>
      </c>
      <c r="AF357" s="46">
        <f t="shared" si="1892"/>
        <v>0</v>
      </c>
      <c r="AG357" s="46">
        <f t="shared" si="1892"/>
        <v>0</v>
      </c>
      <c r="AH357" s="46">
        <f t="shared" si="1892"/>
        <v>0</v>
      </c>
      <c r="AI357" s="46">
        <f t="shared" si="1892"/>
        <v>0</v>
      </c>
      <c r="AJ357" s="46">
        <f t="shared" si="1892"/>
        <v>0</v>
      </c>
      <c r="AK357" s="46">
        <f t="shared" si="1892"/>
        <v>0</v>
      </c>
      <c r="AL357" s="46">
        <f t="shared" si="1892"/>
        <v>0</v>
      </c>
      <c r="AM357" s="46">
        <f t="shared" si="1892"/>
        <v>0</v>
      </c>
      <c r="AN357" s="46">
        <f t="shared" si="1892"/>
        <v>0</v>
      </c>
      <c r="AO357" s="46">
        <f t="shared" si="1892"/>
        <v>0</v>
      </c>
      <c r="AP357" s="46">
        <f t="shared" si="1892"/>
        <v>0</v>
      </c>
      <c r="AQ357" s="46">
        <f t="shared" si="1892"/>
        <v>0</v>
      </c>
      <c r="AR357" s="46">
        <f t="shared" si="1892"/>
        <v>0</v>
      </c>
      <c r="AS357" s="46">
        <f t="shared" si="1892"/>
        <v>0</v>
      </c>
      <c r="AT357" s="46">
        <f t="shared" si="1892"/>
        <v>0</v>
      </c>
      <c r="AU357" s="46">
        <f t="shared" si="1892"/>
        <v>0</v>
      </c>
      <c r="AV357" s="46">
        <f t="shared" si="1892"/>
        <v>0</v>
      </c>
      <c r="AW357" s="46">
        <f t="shared" si="1892"/>
        <v>0</v>
      </c>
      <c r="AX357" s="46">
        <f t="shared" si="1892"/>
        <v>0</v>
      </c>
      <c r="AY357" s="46">
        <f t="shared" si="1892"/>
        <v>0</v>
      </c>
      <c r="AZ357" s="46">
        <f t="shared" si="1892"/>
        <v>0</v>
      </c>
      <c r="BA357" s="46">
        <f t="shared" si="1892"/>
        <v>0</v>
      </c>
      <c r="BB357" s="46">
        <f t="shared" si="1892"/>
        <v>0</v>
      </c>
      <c r="BC357" s="46">
        <f t="shared" si="1892"/>
        <v>0</v>
      </c>
      <c r="BD357" s="46">
        <f t="shared" si="1892"/>
        <v>0</v>
      </c>
      <c r="BE357" s="46">
        <f t="shared" si="1892"/>
        <v>0</v>
      </c>
      <c r="BF357" s="46">
        <f t="shared" si="1892"/>
        <v>0</v>
      </c>
      <c r="BG357" s="46">
        <f t="shared" si="1892"/>
        <v>0</v>
      </c>
      <c r="BH357" s="46">
        <f t="shared" si="1892"/>
        <v>0</v>
      </c>
      <c r="BI357" s="46">
        <f t="shared" si="1892"/>
        <v>0</v>
      </c>
      <c r="BJ357" s="46">
        <f t="shared" si="1892"/>
        <v>0</v>
      </c>
      <c r="BK357" s="46">
        <f t="shared" si="1892"/>
        <v>0</v>
      </c>
      <c r="BL357" s="46">
        <f t="shared" si="1892"/>
        <v>0</v>
      </c>
      <c r="BM357" s="46">
        <f t="shared" si="1892"/>
        <v>0</v>
      </c>
      <c r="BN357" s="46">
        <f t="shared" si="1892"/>
        <v>0</v>
      </c>
      <c r="BO357" s="46">
        <f t="shared" si="1892"/>
        <v>0</v>
      </c>
      <c r="BP357" s="46">
        <f t="shared" si="1892"/>
        <v>0</v>
      </c>
      <c r="BQ357" s="46">
        <f t="shared" si="1892"/>
        <v>0</v>
      </c>
      <c r="BR357" s="46">
        <f t="shared" si="1892"/>
        <v>0</v>
      </c>
      <c r="BS357" s="46">
        <f t="shared" si="1892"/>
        <v>0</v>
      </c>
      <c r="BT357" s="46">
        <f t="shared" si="1892"/>
        <v>0</v>
      </c>
      <c r="BU357" s="46">
        <f t="shared" si="1892"/>
        <v>0</v>
      </c>
      <c r="BV357" s="46">
        <f t="shared" si="1892"/>
        <v>0</v>
      </c>
      <c r="BW357" s="46">
        <f t="shared" si="1892"/>
        <v>0</v>
      </c>
      <c r="BX357" s="6"/>
      <c r="BY357" s="6"/>
      <c r="BZ357" s="6"/>
      <c r="CA357" s="6"/>
      <c r="CB357" s="6"/>
      <c r="CC357" s="6"/>
      <c r="CD357" s="6"/>
      <c r="CE357" s="6"/>
      <c r="CF357" s="6"/>
      <c r="CG357" s="6"/>
    </row>
    <row r="358" spans="1:85" ht="15.75" customHeight="1">
      <c r="A358" s="71"/>
      <c r="B358" s="72"/>
      <c r="C358" s="71" t="s">
        <v>252</v>
      </c>
      <c r="D358" s="198" t="s">
        <v>479</v>
      </c>
      <c r="E358" s="56">
        <v>1400</v>
      </c>
      <c r="F358" s="99">
        <v>0</v>
      </c>
      <c r="G358" s="58">
        <f>E358-F358</f>
        <v>1400</v>
      </c>
      <c r="H358" s="99">
        <v>0</v>
      </c>
      <c r="I358" s="59">
        <f t="shared" si="1582"/>
        <v>0</v>
      </c>
      <c r="J358" s="59">
        <f t="shared" si="1583"/>
        <v>0</v>
      </c>
      <c r="K358" s="74">
        <v>0</v>
      </c>
      <c r="L358" s="74">
        <v>0</v>
      </c>
      <c r="M358" s="74">
        <v>0</v>
      </c>
      <c r="N358" s="74">
        <v>0</v>
      </c>
      <c r="O358" s="61">
        <f t="shared" ref="O358:Q358" si="1893">AA358+AD358+AG358+AJ358+AM358+AP358+AS358+AV358+AY358+BB358+BE358+BH358</f>
        <v>0</v>
      </c>
      <c r="P358" s="61">
        <f t="shared" si="1893"/>
        <v>0</v>
      </c>
      <c r="Q358" s="61">
        <f t="shared" si="1893"/>
        <v>0</v>
      </c>
      <c r="R358" s="61">
        <f t="shared" ref="R358:T358" si="1894">IF(BK358=0,SUM(AA358+AD358+AG358+AJ358+AM358+AP358+AS358+AV358+AY358+BB358+BE358+BH358),BK358)</f>
        <v>0</v>
      </c>
      <c r="S358" s="61">
        <f t="shared" si="1894"/>
        <v>0</v>
      </c>
      <c r="T358" s="61">
        <f t="shared" si="1894"/>
        <v>0</v>
      </c>
      <c r="U358" s="63">
        <f>K358-O358</f>
        <v>0</v>
      </c>
      <c r="V358" s="63">
        <f>L358-M358-S358</f>
        <v>0</v>
      </c>
      <c r="W358" s="63">
        <f>N358-Q358</f>
        <v>0</v>
      </c>
      <c r="X358" s="64">
        <f t="shared" ref="X358:Y358" si="1895">IF(O358&gt;0,O358/K358,0)</f>
        <v>0</v>
      </c>
      <c r="Y358" s="64">
        <f t="shared" si="1895"/>
        <v>0</v>
      </c>
      <c r="Z358" s="64">
        <f t="shared" si="1658"/>
        <v>0</v>
      </c>
      <c r="AA358" s="65"/>
      <c r="AB358" s="65"/>
      <c r="AC358" s="65"/>
      <c r="AD358" s="65"/>
      <c r="AE358" s="66"/>
      <c r="AF358" s="66"/>
      <c r="AG358" s="66"/>
      <c r="AH358" s="66"/>
      <c r="AI358" s="65"/>
      <c r="AJ358" s="65"/>
      <c r="AK358" s="65"/>
      <c r="AL358" s="65"/>
      <c r="AM358" s="65"/>
      <c r="AN358" s="65"/>
      <c r="AO358" s="65"/>
      <c r="AP358" s="65"/>
      <c r="AQ358" s="65"/>
      <c r="AR358" s="65"/>
      <c r="AS358" s="65"/>
      <c r="AT358" s="65"/>
      <c r="AU358" s="65"/>
      <c r="AV358" s="65"/>
      <c r="AW358" s="65"/>
      <c r="AX358" s="65"/>
      <c r="AY358" s="65"/>
      <c r="AZ358" s="65"/>
      <c r="BA358" s="65"/>
      <c r="BB358" s="65"/>
      <c r="BC358" s="65"/>
      <c r="BD358" s="65"/>
      <c r="BE358" s="65"/>
      <c r="BF358" s="65"/>
      <c r="BG358" s="65"/>
      <c r="BH358" s="65"/>
      <c r="BI358" s="65"/>
      <c r="BJ358" s="65"/>
      <c r="BK358" s="65">
        <v>0</v>
      </c>
      <c r="BL358" s="65">
        <v>0</v>
      </c>
      <c r="BM358" s="65">
        <v>0</v>
      </c>
      <c r="BN358" s="65">
        <f>IF(O358-BK358&gt;0,O358-BK358,0)</f>
        <v>0</v>
      </c>
      <c r="BO358" s="67">
        <f>IF(Q358-BM358&gt;0,Q358-BM358,0)</f>
        <v>0</v>
      </c>
      <c r="BP358" s="65">
        <f>IF(BN358+BO358&gt;0,BN358+BO358,0)</f>
        <v>0</v>
      </c>
      <c r="BQ358" s="65">
        <f>IF(U358=0,0,U358)</f>
        <v>0</v>
      </c>
      <c r="BR358" s="65">
        <f>IF(W358=0,0,W358)</f>
        <v>0</v>
      </c>
      <c r="BS358" s="65">
        <f>IF(BQ358+BR358&gt;0,BQ358+BR358,0)</f>
        <v>0</v>
      </c>
      <c r="BT358" s="65">
        <f>IF(V358&gt;0,V358,0)</f>
        <v>0</v>
      </c>
      <c r="BU358" s="65">
        <f>IF(BP358=0,0,BP358)</f>
        <v>0</v>
      </c>
      <c r="BV358" s="65">
        <f>IF(BS358=0,0,BS358)</f>
        <v>0</v>
      </c>
      <c r="BW358" s="65">
        <f>IF(BP358+BT358+BV358&gt;0,BP358+BT358+BV358,0)</f>
        <v>0</v>
      </c>
      <c r="BX358" s="6"/>
      <c r="BY358" s="6"/>
      <c r="BZ358" s="6"/>
      <c r="CA358" s="6"/>
      <c r="CB358" s="6"/>
      <c r="CC358" s="6"/>
      <c r="CD358" s="6"/>
      <c r="CE358" s="6"/>
      <c r="CF358" s="6"/>
      <c r="CG358" s="6"/>
    </row>
    <row r="359" spans="1:85" ht="15.75" customHeight="1">
      <c r="A359" s="34"/>
      <c r="B359" s="35"/>
      <c r="C359" s="36"/>
      <c r="D359" s="37" t="s">
        <v>79</v>
      </c>
      <c r="E359" s="38">
        <f t="shared" ref="E359:H359" si="1896">E360+E364+E366+E368+E370+E374+E378</f>
        <v>0</v>
      </c>
      <c r="F359" s="38">
        <f t="shared" si="1896"/>
        <v>0</v>
      </c>
      <c r="G359" s="38">
        <f t="shared" si="1896"/>
        <v>0</v>
      </c>
      <c r="H359" s="38">
        <f t="shared" si="1896"/>
        <v>253000</v>
      </c>
      <c r="I359" s="39">
        <f t="shared" si="1582"/>
        <v>0</v>
      </c>
      <c r="J359" s="39">
        <f t="shared" si="1583"/>
        <v>0</v>
      </c>
      <c r="K359" s="38">
        <f t="shared" ref="K359:W359" si="1897">K360+K364+K366+K368+K370+K374+K378</f>
        <v>0</v>
      </c>
      <c r="L359" s="38">
        <f t="shared" si="1897"/>
        <v>14343</v>
      </c>
      <c r="M359" s="38">
        <f t="shared" si="1897"/>
        <v>0</v>
      </c>
      <c r="N359" s="38">
        <f t="shared" si="1897"/>
        <v>0</v>
      </c>
      <c r="O359" s="38">
        <f t="shared" si="1897"/>
        <v>0</v>
      </c>
      <c r="P359" s="38">
        <f t="shared" si="1897"/>
        <v>11401.94</v>
      </c>
      <c r="Q359" s="38">
        <f t="shared" si="1897"/>
        <v>0</v>
      </c>
      <c r="R359" s="38">
        <f t="shared" si="1897"/>
        <v>0</v>
      </c>
      <c r="S359" s="38">
        <f t="shared" si="1897"/>
        <v>11401.94</v>
      </c>
      <c r="T359" s="38">
        <f t="shared" si="1897"/>
        <v>0</v>
      </c>
      <c r="U359" s="38">
        <f t="shared" si="1897"/>
        <v>0</v>
      </c>
      <c r="V359" s="38">
        <f t="shared" si="1897"/>
        <v>2941.0599999999995</v>
      </c>
      <c r="W359" s="38">
        <f t="shared" si="1897"/>
        <v>0</v>
      </c>
      <c r="X359" s="40">
        <f t="shared" ref="X359:Y359" si="1898">IF(O359&gt;0,O359/K359,0)</f>
        <v>0</v>
      </c>
      <c r="Y359" s="40">
        <f t="shared" si="1898"/>
        <v>0.79494805828627213</v>
      </c>
      <c r="Z359" s="40">
        <f t="shared" si="1658"/>
        <v>0</v>
      </c>
      <c r="AA359" s="38">
        <f t="shared" ref="AA359:BW359" si="1899">AA360+AA364+AA366+AA368+AA370+AA374+AA378</f>
        <v>0</v>
      </c>
      <c r="AB359" s="38">
        <f t="shared" si="1899"/>
        <v>0</v>
      </c>
      <c r="AC359" s="38">
        <f t="shared" si="1899"/>
        <v>0</v>
      </c>
      <c r="AD359" s="38">
        <f t="shared" si="1899"/>
        <v>0</v>
      </c>
      <c r="AE359" s="38">
        <f t="shared" si="1899"/>
        <v>0</v>
      </c>
      <c r="AF359" s="38">
        <f t="shared" si="1899"/>
        <v>0</v>
      </c>
      <c r="AG359" s="38">
        <f t="shared" si="1899"/>
        <v>0</v>
      </c>
      <c r="AH359" s="38">
        <f t="shared" si="1899"/>
        <v>8488.1200000000008</v>
      </c>
      <c r="AI359" s="38">
        <f t="shared" si="1899"/>
        <v>0</v>
      </c>
      <c r="AJ359" s="38">
        <f t="shared" si="1899"/>
        <v>0</v>
      </c>
      <c r="AK359" s="38">
        <f t="shared" si="1899"/>
        <v>2868.74</v>
      </c>
      <c r="AL359" s="38">
        <f t="shared" si="1899"/>
        <v>0</v>
      </c>
      <c r="AM359" s="38">
        <f t="shared" si="1899"/>
        <v>0</v>
      </c>
      <c r="AN359" s="38">
        <f t="shared" si="1899"/>
        <v>45.08</v>
      </c>
      <c r="AO359" s="38">
        <f t="shared" si="1899"/>
        <v>0</v>
      </c>
      <c r="AP359" s="38">
        <f t="shared" si="1899"/>
        <v>0</v>
      </c>
      <c r="AQ359" s="38">
        <f t="shared" si="1899"/>
        <v>0</v>
      </c>
      <c r="AR359" s="38">
        <f t="shared" si="1899"/>
        <v>0</v>
      </c>
      <c r="AS359" s="38">
        <f t="shared" si="1899"/>
        <v>0</v>
      </c>
      <c r="AT359" s="38">
        <f t="shared" si="1899"/>
        <v>0</v>
      </c>
      <c r="AU359" s="38">
        <f t="shared" si="1899"/>
        <v>0</v>
      </c>
      <c r="AV359" s="38">
        <f t="shared" si="1899"/>
        <v>0</v>
      </c>
      <c r="AW359" s="38">
        <f t="shared" si="1899"/>
        <v>0</v>
      </c>
      <c r="AX359" s="38">
        <f t="shared" si="1899"/>
        <v>0</v>
      </c>
      <c r="AY359" s="38">
        <f t="shared" si="1899"/>
        <v>0</v>
      </c>
      <c r="AZ359" s="38">
        <f t="shared" si="1899"/>
        <v>0</v>
      </c>
      <c r="BA359" s="38">
        <f t="shared" si="1899"/>
        <v>0</v>
      </c>
      <c r="BB359" s="38">
        <f t="shared" si="1899"/>
        <v>0</v>
      </c>
      <c r="BC359" s="38">
        <f t="shared" si="1899"/>
        <v>0</v>
      </c>
      <c r="BD359" s="38">
        <f t="shared" si="1899"/>
        <v>0</v>
      </c>
      <c r="BE359" s="38">
        <f t="shared" si="1899"/>
        <v>0</v>
      </c>
      <c r="BF359" s="38">
        <f t="shared" si="1899"/>
        <v>0</v>
      </c>
      <c r="BG359" s="38">
        <f t="shared" si="1899"/>
        <v>0</v>
      </c>
      <c r="BH359" s="38">
        <f t="shared" si="1899"/>
        <v>0</v>
      </c>
      <c r="BI359" s="38">
        <f t="shared" si="1899"/>
        <v>0</v>
      </c>
      <c r="BJ359" s="38">
        <f t="shared" si="1899"/>
        <v>0</v>
      </c>
      <c r="BK359" s="38">
        <f t="shared" si="1899"/>
        <v>0</v>
      </c>
      <c r="BL359" s="38">
        <f t="shared" si="1899"/>
        <v>0</v>
      </c>
      <c r="BM359" s="38">
        <f t="shared" si="1899"/>
        <v>0</v>
      </c>
      <c r="BN359" s="38">
        <f t="shared" si="1899"/>
        <v>0</v>
      </c>
      <c r="BO359" s="38">
        <f t="shared" si="1899"/>
        <v>0</v>
      </c>
      <c r="BP359" s="38">
        <f t="shared" si="1899"/>
        <v>0</v>
      </c>
      <c r="BQ359" s="38">
        <f t="shared" si="1899"/>
        <v>0</v>
      </c>
      <c r="BR359" s="38">
        <f t="shared" si="1899"/>
        <v>0</v>
      </c>
      <c r="BS359" s="38">
        <f t="shared" si="1899"/>
        <v>0</v>
      </c>
      <c r="BT359" s="38">
        <f t="shared" si="1899"/>
        <v>2941.0599999999995</v>
      </c>
      <c r="BU359" s="38">
        <f t="shared" si="1899"/>
        <v>0</v>
      </c>
      <c r="BV359" s="38">
        <f t="shared" si="1899"/>
        <v>0</v>
      </c>
      <c r="BW359" s="38">
        <f t="shared" si="1899"/>
        <v>2941.0599999999995</v>
      </c>
      <c r="BX359" s="6"/>
      <c r="BY359" s="6"/>
      <c r="BZ359" s="6"/>
      <c r="CA359" s="6"/>
      <c r="CB359" s="6"/>
      <c r="CC359" s="6"/>
      <c r="CD359" s="6"/>
      <c r="CE359" s="6"/>
      <c r="CF359" s="6"/>
      <c r="CG359" s="6"/>
    </row>
    <row r="360" spans="1:85" ht="15.75">
      <c r="A360" s="41"/>
      <c r="B360" s="42"/>
      <c r="C360" s="43"/>
      <c r="D360" s="44" t="s">
        <v>67</v>
      </c>
      <c r="E360" s="45">
        <f t="shared" ref="E360:H360" si="1900">SUM(E361:E363)</f>
        <v>0</v>
      </c>
      <c r="F360" s="46">
        <f t="shared" si="1900"/>
        <v>0</v>
      </c>
      <c r="G360" s="46">
        <f t="shared" si="1900"/>
        <v>0</v>
      </c>
      <c r="H360" s="46">
        <f t="shared" si="1900"/>
        <v>5000</v>
      </c>
      <c r="I360" s="47">
        <f t="shared" si="1582"/>
        <v>0</v>
      </c>
      <c r="J360" s="47">
        <f t="shared" si="1583"/>
        <v>0</v>
      </c>
      <c r="K360" s="46">
        <f t="shared" ref="K360:W360" si="1901">SUM(K361:K363)</f>
        <v>0</v>
      </c>
      <c r="L360" s="46">
        <f t="shared" si="1901"/>
        <v>0</v>
      </c>
      <c r="M360" s="46">
        <f t="shared" si="1901"/>
        <v>0</v>
      </c>
      <c r="N360" s="46">
        <f t="shared" si="1901"/>
        <v>0</v>
      </c>
      <c r="O360" s="46">
        <f t="shared" si="1901"/>
        <v>0</v>
      </c>
      <c r="P360" s="46">
        <f t="shared" si="1901"/>
        <v>0</v>
      </c>
      <c r="Q360" s="46">
        <f t="shared" si="1901"/>
        <v>0</v>
      </c>
      <c r="R360" s="46">
        <f t="shared" si="1901"/>
        <v>0</v>
      </c>
      <c r="S360" s="46">
        <f t="shared" si="1901"/>
        <v>0</v>
      </c>
      <c r="T360" s="46">
        <f t="shared" si="1901"/>
        <v>0</v>
      </c>
      <c r="U360" s="46">
        <f t="shared" si="1901"/>
        <v>0</v>
      </c>
      <c r="V360" s="46">
        <f t="shared" si="1901"/>
        <v>0</v>
      </c>
      <c r="W360" s="46">
        <f t="shared" si="1901"/>
        <v>0</v>
      </c>
      <c r="X360" s="50">
        <f t="shared" ref="X360:Y360" si="1902">IF(O360&gt;0,O360/K360,0)</f>
        <v>0</v>
      </c>
      <c r="Y360" s="50">
        <f t="shared" si="1902"/>
        <v>0</v>
      </c>
      <c r="Z360" s="50">
        <f t="shared" si="1658"/>
        <v>0</v>
      </c>
      <c r="AA360" s="46">
        <f t="shared" ref="AA360:BW360" si="1903">SUM(AA361:AA363)</f>
        <v>0</v>
      </c>
      <c r="AB360" s="46">
        <f t="shared" si="1903"/>
        <v>0</v>
      </c>
      <c r="AC360" s="46">
        <f t="shared" si="1903"/>
        <v>0</v>
      </c>
      <c r="AD360" s="46">
        <f t="shared" si="1903"/>
        <v>0</v>
      </c>
      <c r="AE360" s="46">
        <f t="shared" si="1903"/>
        <v>0</v>
      </c>
      <c r="AF360" s="46">
        <f t="shared" si="1903"/>
        <v>0</v>
      </c>
      <c r="AG360" s="46">
        <f t="shared" si="1903"/>
        <v>0</v>
      </c>
      <c r="AH360" s="46">
        <f t="shared" si="1903"/>
        <v>0</v>
      </c>
      <c r="AI360" s="46">
        <f t="shared" si="1903"/>
        <v>0</v>
      </c>
      <c r="AJ360" s="46">
        <f t="shared" si="1903"/>
        <v>0</v>
      </c>
      <c r="AK360" s="46">
        <f t="shared" si="1903"/>
        <v>0</v>
      </c>
      <c r="AL360" s="46">
        <f t="shared" si="1903"/>
        <v>0</v>
      </c>
      <c r="AM360" s="46">
        <f t="shared" si="1903"/>
        <v>0</v>
      </c>
      <c r="AN360" s="46">
        <f t="shared" si="1903"/>
        <v>0</v>
      </c>
      <c r="AO360" s="46">
        <f t="shared" si="1903"/>
        <v>0</v>
      </c>
      <c r="AP360" s="46">
        <f t="shared" si="1903"/>
        <v>0</v>
      </c>
      <c r="AQ360" s="46">
        <f t="shared" si="1903"/>
        <v>0</v>
      </c>
      <c r="AR360" s="46">
        <f t="shared" si="1903"/>
        <v>0</v>
      </c>
      <c r="AS360" s="46">
        <f t="shared" si="1903"/>
        <v>0</v>
      </c>
      <c r="AT360" s="46">
        <f t="shared" si="1903"/>
        <v>0</v>
      </c>
      <c r="AU360" s="46">
        <f t="shared" si="1903"/>
        <v>0</v>
      </c>
      <c r="AV360" s="46">
        <f t="shared" si="1903"/>
        <v>0</v>
      </c>
      <c r="AW360" s="46">
        <f t="shared" si="1903"/>
        <v>0</v>
      </c>
      <c r="AX360" s="46">
        <f t="shared" si="1903"/>
        <v>0</v>
      </c>
      <c r="AY360" s="46">
        <f t="shared" si="1903"/>
        <v>0</v>
      </c>
      <c r="AZ360" s="46">
        <f t="shared" si="1903"/>
        <v>0</v>
      </c>
      <c r="BA360" s="46">
        <f t="shared" si="1903"/>
        <v>0</v>
      </c>
      <c r="BB360" s="46">
        <f t="shared" si="1903"/>
        <v>0</v>
      </c>
      <c r="BC360" s="46">
        <f t="shared" si="1903"/>
        <v>0</v>
      </c>
      <c r="BD360" s="46">
        <f t="shared" si="1903"/>
        <v>0</v>
      </c>
      <c r="BE360" s="46">
        <f t="shared" si="1903"/>
        <v>0</v>
      </c>
      <c r="BF360" s="46">
        <f t="shared" si="1903"/>
        <v>0</v>
      </c>
      <c r="BG360" s="46">
        <f t="shared" si="1903"/>
        <v>0</v>
      </c>
      <c r="BH360" s="46">
        <f t="shared" si="1903"/>
        <v>0</v>
      </c>
      <c r="BI360" s="46">
        <f t="shared" si="1903"/>
        <v>0</v>
      </c>
      <c r="BJ360" s="46">
        <f t="shared" si="1903"/>
        <v>0</v>
      </c>
      <c r="BK360" s="46">
        <f t="shared" si="1903"/>
        <v>0</v>
      </c>
      <c r="BL360" s="46">
        <f t="shared" si="1903"/>
        <v>0</v>
      </c>
      <c r="BM360" s="46">
        <f t="shared" si="1903"/>
        <v>0</v>
      </c>
      <c r="BN360" s="46">
        <f t="shared" si="1903"/>
        <v>0</v>
      </c>
      <c r="BO360" s="46">
        <f t="shared" si="1903"/>
        <v>0</v>
      </c>
      <c r="BP360" s="46">
        <f t="shared" si="1903"/>
        <v>0</v>
      </c>
      <c r="BQ360" s="46">
        <f t="shared" si="1903"/>
        <v>0</v>
      </c>
      <c r="BR360" s="46">
        <f t="shared" si="1903"/>
        <v>0</v>
      </c>
      <c r="BS360" s="46">
        <f t="shared" si="1903"/>
        <v>0</v>
      </c>
      <c r="BT360" s="46">
        <f t="shared" si="1903"/>
        <v>0</v>
      </c>
      <c r="BU360" s="46">
        <f t="shared" si="1903"/>
        <v>0</v>
      </c>
      <c r="BV360" s="46">
        <f t="shared" si="1903"/>
        <v>0</v>
      </c>
      <c r="BW360" s="46">
        <f t="shared" si="1903"/>
        <v>0</v>
      </c>
      <c r="BX360" s="51"/>
      <c r="BY360" s="51"/>
      <c r="BZ360" s="51"/>
      <c r="CA360" s="51"/>
      <c r="CB360" s="51"/>
      <c r="CC360" s="51"/>
      <c r="CD360" s="51"/>
      <c r="CE360" s="51"/>
      <c r="CF360" s="51"/>
      <c r="CG360" s="51"/>
    </row>
    <row r="361" spans="1:85" ht="15.75" customHeight="1">
      <c r="A361" s="68"/>
      <c r="B361" s="103"/>
      <c r="C361" s="68" t="s">
        <v>69</v>
      </c>
      <c r="D361" s="70" t="s">
        <v>70</v>
      </c>
      <c r="E361" s="99">
        <v>0</v>
      </c>
      <c r="F361" s="99">
        <v>0</v>
      </c>
      <c r="G361" s="58">
        <f t="shared" ref="G361:G363" si="1904">E361-F361</f>
        <v>0</v>
      </c>
      <c r="H361" s="57">
        <v>0</v>
      </c>
      <c r="I361" s="59">
        <f t="shared" si="1582"/>
        <v>0</v>
      </c>
      <c r="J361" s="59">
        <f t="shared" si="1583"/>
        <v>0</v>
      </c>
      <c r="K361" s="74">
        <v>0</v>
      </c>
      <c r="L361" s="74">
        <v>0</v>
      </c>
      <c r="M361" s="74">
        <v>0</v>
      </c>
      <c r="N361" s="74">
        <v>0</v>
      </c>
      <c r="O361" s="61">
        <f t="shared" ref="O361:Q361" si="1905">AA361+AD361+AG361+AJ361+AM361+AP361+AS361+AV361+AY361+BB361+BE361+BH361</f>
        <v>0</v>
      </c>
      <c r="P361" s="61">
        <f t="shared" si="1905"/>
        <v>0</v>
      </c>
      <c r="Q361" s="61">
        <f t="shared" si="1905"/>
        <v>0</v>
      </c>
      <c r="R361" s="61">
        <f t="shared" ref="R361:T361" si="1906">IF(BK361=0,SUM(AA361+AD361+AG361+AJ361+AM361+AP361+AS361+AV361+AY361+BB361+BE361+BH361),BK361)</f>
        <v>0</v>
      </c>
      <c r="S361" s="61">
        <f t="shared" si="1906"/>
        <v>0</v>
      </c>
      <c r="T361" s="61">
        <f t="shared" si="1906"/>
        <v>0</v>
      </c>
      <c r="U361" s="63">
        <f t="shared" ref="U361:U363" si="1907">K361-O361</f>
        <v>0</v>
      </c>
      <c r="V361" s="63">
        <f t="shared" ref="V361:V363" si="1908">L361-M361-S361</f>
        <v>0</v>
      </c>
      <c r="W361" s="63">
        <f t="shared" ref="W361:W363" si="1909">N361-Q361</f>
        <v>0</v>
      </c>
      <c r="X361" s="64">
        <f t="shared" ref="X361:Y361" si="1910">IF(O361&gt;0,O361/K361,0)</f>
        <v>0</v>
      </c>
      <c r="Y361" s="64">
        <f t="shared" si="1910"/>
        <v>0</v>
      </c>
      <c r="Z361" s="64">
        <f t="shared" si="1658"/>
        <v>0</v>
      </c>
      <c r="AA361" s="65"/>
      <c r="AB361" s="65"/>
      <c r="AC361" s="65"/>
      <c r="AD361" s="65"/>
      <c r="AE361" s="66"/>
      <c r="AF361" s="66"/>
      <c r="AG361" s="66"/>
      <c r="AH361" s="66"/>
      <c r="AI361" s="65"/>
      <c r="AJ361" s="65"/>
      <c r="AK361" s="65"/>
      <c r="AL361" s="65"/>
      <c r="AM361" s="65"/>
      <c r="AN361" s="65"/>
      <c r="AO361" s="65"/>
      <c r="AP361" s="65"/>
      <c r="AQ361" s="65"/>
      <c r="AR361" s="65"/>
      <c r="AS361" s="65"/>
      <c r="AT361" s="65"/>
      <c r="AU361" s="65"/>
      <c r="AV361" s="65"/>
      <c r="AW361" s="65"/>
      <c r="AX361" s="65"/>
      <c r="AY361" s="65"/>
      <c r="AZ361" s="65"/>
      <c r="BA361" s="65"/>
      <c r="BB361" s="65"/>
      <c r="BC361" s="65"/>
      <c r="BD361" s="65"/>
      <c r="BE361" s="65"/>
      <c r="BF361" s="65"/>
      <c r="BG361" s="65"/>
      <c r="BH361" s="65"/>
      <c r="BI361" s="65"/>
      <c r="BJ361" s="65"/>
      <c r="BK361" s="65">
        <v>0</v>
      </c>
      <c r="BL361" s="65">
        <v>0</v>
      </c>
      <c r="BM361" s="65">
        <v>0</v>
      </c>
      <c r="BN361" s="65">
        <f t="shared" ref="BN361:BN363" si="1911">IF(O361-BK361&gt;0,O361-BK361,0)</f>
        <v>0</v>
      </c>
      <c r="BO361" s="67">
        <f t="shared" ref="BO361:BO363" si="1912">IF(Q361-BM361&gt;0,Q361-BM361,0)</f>
        <v>0</v>
      </c>
      <c r="BP361" s="65">
        <f t="shared" ref="BP361:BP363" si="1913">IF(BN361+BO361&gt;0,BN361+BO361,0)</f>
        <v>0</v>
      </c>
      <c r="BQ361" s="65">
        <f t="shared" ref="BQ361:BQ363" si="1914">IF(U361=0,0,U361)</f>
        <v>0</v>
      </c>
      <c r="BR361" s="65">
        <f t="shared" ref="BR361:BR363" si="1915">IF(W361=0,0,W361)</f>
        <v>0</v>
      </c>
      <c r="BS361" s="65">
        <f t="shared" ref="BS361:BS363" si="1916">IF(BQ361+BR361&gt;0,BQ361+BR361,0)</f>
        <v>0</v>
      </c>
      <c r="BT361" s="65">
        <f t="shared" ref="BT361:BT363" si="1917">IF(V361&gt;0,V361,0)</f>
        <v>0</v>
      </c>
      <c r="BU361" s="65">
        <f t="shared" ref="BU361:BU363" si="1918">IF(BP361=0,0,BP361)</f>
        <v>0</v>
      </c>
      <c r="BV361" s="65">
        <f t="shared" ref="BV361:BV363" si="1919">IF(BS361=0,0,BS361)</f>
        <v>0</v>
      </c>
      <c r="BW361" s="65">
        <f t="shared" ref="BW361:BW363" si="1920">IF(BP361+BT361+BV361&gt;0,BP361+BT361+BV361,0)</f>
        <v>0</v>
      </c>
      <c r="BX361" s="6"/>
      <c r="BY361" s="6"/>
      <c r="BZ361" s="6"/>
      <c r="CA361" s="6"/>
      <c r="CB361" s="6"/>
      <c r="CC361" s="6"/>
      <c r="CD361" s="6"/>
      <c r="CE361" s="6"/>
      <c r="CF361" s="6"/>
      <c r="CG361" s="6"/>
    </row>
    <row r="362" spans="1:85" ht="15.75" customHeight="1">
      <c r="A362" s="68"/>
      <c r="B362" s="103"/>
      <c r="C362" s="68" t="s">
        <v>73</v>
      </c>
      <c r="D362" s="70" t="s">
        <v>74</v>
      </c>
      <c r="E362" s="99">
        <v>0</v>
      </c>
      <c r="F362" s="99">
        <v>0</v>
      </c>
      <c r="G362" s="58">
        <f t="shared" si="1904"/>
        <v>0</v>
      </c>
      <c r="H362" s="56">
        <v>3000</v>
      </c>
      <c r="I362" s="59">
        <f t="shared" si="1582"/>
        <v>0</v>
      </c>
      <c r="J362" s="59">
        <f t="shared" si="1583"/>
        <v>0</v>
      </c>
      <c r="K362" s="74">
        <v>0</v>
      </c>
      <c r="L362" s="74">
        <v>0</v>
      </c>
      <c r="M362" s="74">
        <v>0</v>
      </c>
      <c r="N362" s="74">
        <v>0</v>
      </c>
      <c r="O362" s="61">
        <f t="shared" ref="O362:Q362" si="1921">AA362+AD362+AG362+AJ362+AM362+AP362+AS362+AV362+AY362+BB362+BE362+BH362</f>
        <v>0</v>
      </c>
      <c r="P362" s="61">
        <f t="shared" si="1921"/>
        <v>0</v>
      </c>
      <c r="Q362" s="61">
        <f t="shared" si="1921"/>
        <v>0</v>
      </c>
      <c r="R362" s="61">
        <f t="shared" ref="R362:T362" si="1922">IF(BK362=0,SUM(AA362+AD362+AG362+AJ362+AM362+AP362+AS362+AV362+AY362+BB362+BE362+BH362),BK362)</f>
        <v>0</v>
      </c>
      <c r="S362" s="61">
        <f t="shared" si="1922"/>
        <v>0</v>
      </c>
      <c r="T362" s="61">
        <f t="shared" si="1922"/>
        <v>0</v>
      </c>
      <c r="U362" s="63">
        <f t="shared" si="1907"/>
        <v>0</v>
      </c>
      <c r="V362" s="63">
        <f t="shared" si="1908"/>
        <v>0</v>
      </c>
      <c r="W362" s="63">
        <f t="shared" si="1909"/>
        <v>0</v>
      </c>
      <c r="X362" s="64">
        <f t="shared" ref="X362:Y362" si="1923">IF(O362&gt;0,O362/K362,0)</f>
        <v>0</v>
      </c>
      <c r="Y362" s="64">
        <f t="shared" si="1923"/>
        <v>0</v>
      </c>
      <c r="Z362" s="64">
        <f t="shared" si="1658"/>
        <v>0</v>
      </c>
      <c r="AA362" s="65"/>
      <c r="AB362" s="65"/>
      <c r="AC362" s="65"/>
      <c r="AD362" s="65"/>
      <c r="AE362" s="66"/>
      <c r="AF362" s="66"/>
      <c r="AG362" s="66"/>
      <c r="AH362" s="66"/>
      <c r="AI362" s="65"/>
      <c r="AJ362" s="65"/>
      <c r="AK362" s="65"/>
      <c r="AL362" s="65"/>
      <c r="AM362" s="65"/>
      <c r="AN362" s="65"/>
      <c r="AO362" s="65"/>
      <c r="AP362" s="65"/>
      <c r="AQ362" s="65"/>
      <c r="AR362" s="65"/>
      <c r="AS362" s="65"/>
      <c r="AT362" s="65"/>
      <c r="AU362" s="65"/>
      <c r="AV362" s="65"/>
      <c r="AW362" s="65"/>
      <c r="AX362" s="65"/>
      <c r="AY362" s="65"/>
      <c r="AZ362" s="65"/>
      <c r="BA362" s="65"/>
      <c r="BB362" s="65"/>
      <c r="BC362" s="65"/>
      <c r="BD362" s="65"/>
      <c r="BE362" s="65"/>
      <c r="BF362" s="65"/>
      <c r="BG362" s="65"/>
      <c r="BH362" s="65"/>
      <c r="BI362" s="65"/>
      <c r="BJ362" s="65"/>
      <c r="BK362" s="65">
        <v>0</v>
      </c>
      <c r="BL362" s="65">
        <v>0</v>
      </c>
      <c r="BM362" s="65">
        <v>0</v>
      </c>
      <c r="BN362" s="65">
        <f t="shared" si="1911"/>
        <v>0</v>
      </c>
      <c r="BO362" s="67">
        <f t="shared" si="1912"/>
        <v>0</v>
      </c>
      <c r="BP362" s="65">
        <f t="shared" si="1913"/>
        <v>0</v>
      </c>
      <c r="BQ362" s="65">
        <f t="shared" si="1914"/>
        <v>0</v>
      </c>
      <c r="BR362" s="65">
        <f t="shared" si="1915"/>
        <v>0</v>
      </c>
      <c r="BS362" s="65">
        <f t="shared" si="1916"/>
        <v>0</v>
      </c>
      <c r="BT362" s="65">
        <f t="shared" si="1917"/>
        <v>0</v>
      </c>
      <c r="BU362" s="65">
        <f t="shared" si="1918"/>
        <v>0</v>
      </c>
      <c r="BV362" s="65">
        <f t="shared" si="1919"/>
        <v>0</v>
      </c>
      <c r="BW362" s="65">
        <f t="shared" si="1920"/>
        <v>0</v>
      </c>
      <c r="BX362" s="6"/>
      <c r="BY362" s="6"/>
      <c r="BZ362" s="6"/>
      <c r="CA362" s="6"/>
      <c r="CB362" s="6"/>
      <c r="CC362" s="6"/>
      <c r="CD362" s="6"/>
      <c r="CE362" s="6"/>
      <c r="CF362" s="6"/>
      <c r="CG362" s="6"/>
    </row>
    <row r="363" spans="1:85" ht="15.75" customHeight="1">
      <c r="A363" s="68"/>
      <c r="B363" s="103"/>
      <c r="C363" s="68" t="s">
        <v>73</v>
      </c>
      <c r="D363" s="105" t="s">
        <v>428</v>
      </c>
      <c r="E363" s="99">
        <v>0</v>
      </c>
      <c r="F363" s="99">
        <v>0</v>
      </c>
      <c r="G363" s="58">
        <f t="shared" si="1904"/>
        <v>0</v>
      </c>
      <c r="H363" s="56">
        <v>2000</v>
      </c>
      <c r="I363" s="59">
        <f t="shared" si="1582"/>
        <v>0</v>
      </c>
      <c r="J363" s="59">
        <f t="shared" si="1583"/>
        <v>0</v>
      </c>
      <c r="K363" s="74">
        <v>0</v>
      </c>
      <c r="L363" s="74">
        <v>0</v>
      </c>
      <c r="M363" s="74">
        <v>0</v>
      </c>
      <c r="N363" s="74">
        <v>0</v>
      </c>
      <c r="O363" s="61">
        <f t="shared" ref="O363:Q363" si="1924">AA363+AD363+AG363+AJ363+AM363+AP363+AS363+AV363+AY363+BB363+BE363+BH363</f>
        <v>0</v>
      </c>
      <c r="P363" s="61">
        <f t="shared" si="1924"/>
        <v>0</v>
      </c>
      <c r="Q363" s="61">
        <f t="shared" si="1924"/>
        <v>0</v>
      </c>
      <c r="R363" s="61">
        <f t="shared" ref="R363:T363" si="1925">IF(BK363=0,SUM(AA363+AD363+AG363+AJ363+AM363+AP363+AS363+AV363+AY363+BB363+BE363+BH363),BK363)</f>
        <v>0</v>
      </c>
      <c r="S363" s="61">
        <f t="shared" si="1925"/>
        <v>0</v>
      </c>
      <c r="T363" s="61">
        <f t="shared" si="1925"/>
        <v>0</v>
      </c>
      <c r="U363" s="63">
        <f t="shared" si="1907"/>
        <v>0</v>
      </c>
      <c r="V363" s="63">
        <f t="shared" si="1908"/>
        <v>0</v>
      </c>
      <c r="W363" s="63">
        <f t="shared" si="1909"/>
        <v>0</v>
      </c>
      <c r="X363" s="64">
        <f t="shared" ref="X363:Y363" si="1926">IF(O363&gt;0,O363/K363,0)</f>
        <v>0</v>
      </c>
      <c r="Y363" s="64">
        <f t="shared" si="1926"/>
        <v>0</v>
      </c>
      <c r="Z363" s="64">
        <f t="shared" si="1658"/>
        <v>0</v>
      </c>
      <c r="AA363" s="65"/>
      <c r="AB363" s="65"/>
      <c r="AC363" s="65"/>
      <c r="AD363" s="65"/>
      <c r="AE363" s="66"/>
      <c r="AF363" s="66"/>
      <c r="AG363" s="66"/>
      <c r="AH363" s="66"/>
      <c r="AI363" s="65"/>
      <c r="AJ363" s="65"/>
      <c r="AK363" s="65"/>
      <c r="AL363" s="65"/>
      <c r="AM363" s="65"/>
      <c r="AN363" s="65"/>
      <c r="AO363" s="65"/>
      <c r="AP363" s="65"/>
      <c r="AQ363" s="65"/>
      <c r="AR363" s="65"/>
      <c r="AS363" s="65"/>
      <c r="AT363" s="65"/>
      <c r="AU363" s="65"/>
      <c r="AV363" s="65"/>
      <c r="AW363" s="65"/>
      <c r="AX363" s="65"/>
      <c r="AY363" s="65"/>
      <c r="AZ363" s="65"/>
      <c r="BA363" s="65"/>
      <c r="BB363" s="65"/>
      <c r="BC363" s="65"/>
      <c r="BD363" s="65"/>
      <c r="BE363" s="65"/>
      <c r="BF363" s="65"/>
      <c r="BG363" s="65"/>
      <c r="BH363" s="65"/>
      <c r="BI363" s="65"/>
      <c r="BJ363" s="65"/>
      <c r="BK363" s="65">
        <v>0</v>
      </c>
      <c r="BL363" s="65">
        <v>0</v>
      </c>
      <c r="BM363" s="65">
        <v>0</v>
      </c>
      <c r="BN363" s="65">
        <f t="shared" si="1911"/>
        <v>0</v>
      </c>
      <c r="BO363" s="67">
        <f t="shared" si="1912"/>
        <v>0</v>
      </c>
      <c r="BP363" s="65">
        <f t="shared" si="1913"/>
        <v>0</v>
      </c>
      <c r="BQ363" s="65">
        <f t="shared" si="1914"/>
        <v>0</v>
      </c>
      <c r="BR363" s="65">
        <f t="shared" si="1915"/>
        <v>0</v>
      </c>
      <c r="BS363" s="65">
        <f t="shared" si="1916"/>
        <v>0</v>
      </c>
      <c r="BT363" s="65">
        <f t="shared" si="1917"/>
        <v>0</v>
      </c>
      <c r="BU363" s="65">
        <f t="shared" si="1918"/>
        <v>0</v>
      </c>
      <c r="BV363" s="65">
        <f t="shared" si="1919"/>
        <v>0</v>
      </c>
      <c r="BW363" s="65">
        <f t="shared" si="1920"/>
        <v>0</v>
      </c>
      <c r="BX363" s="6"/>
      <c r="BY363" s="6"/>
      <c r="BZ363" s="6"/>
      <c r="CA363" s="6"/>
      <c r="CB363" s="6"/>
      <c r="CC363" s="6"/>
      <c r="CD363" s="6"/>
      <c r="CE363" s="6"/>
      <c r="CF363" s="6"/>
      <c r="CG363" s="6"/>
    </row>
    <row r="364" spans="1:85" ht="15.75" customHeight="1">
      <c r="A364" s="260"/>
      <c r="B364" s="261"/>
      <c r="C364" s="262"/>
      <c r="D364" s="78" t="s">
        <v>339</v>
      </c>
      <c r="E364" s="45">
        <f t="shared" ref="E364:H364" si="1927">E365</f>
        <v>0</v>
      </c>
      <c r="F364" s="46">
        <f t="shared" si="1927"/>
        <v>0</v>
      </c>
      <c r="G364" s="46">
        <f t="shared" si="1927"/>
        <v>0</v>
      </c>
      <c r="H364" s="46">
        <f t="shared" si="1927"/>
        <v>40000</v>
      </c>
      <c r="I364" s="47">
        <f t="shared" si="1582"/>
        <v>0</v>
      </c>
      <c r="J364" s="47">
        <f t="shared" si="1583"/>
        <v>0</v>
      </c>
      <c r="K364" s="46">
        <f t="shared" ref="K364:W364" si="1928">K365</f>
        <v>0</v>
      </c>
      <c r="L364" s="46">
        <f t="shared" si="1928"/>
        <v>0</v>
      </c>
      <c r="M364" s="46">
        <f t="shared" si="1928"/>
        <v>0</v>
      </c>
      <c r="N364" s="46">
        <f t="shared" si="1928"/>
        <v>0</v>
      </c>
      <c r="O364" s="46">
        <f t="shared" si="1928"/>
        <v>0</v>
      </c>
      <c r="P364" s="46">
        <f t="shared" si="1928"/>
        <v>0</v>
      </c>
      <c r="Q364" s="46">
        <f t="shared" si="1928"/>
        <v>0</v>
      </c>
      <c r="R364" s="46">
        <f t="shared" si="1928"/>
        <v>0</v>
      </c>
      <c r="S364" s="46">
        <f t="shared" si="1928"/>
        <v>0</v>
      </c>
      <c r="T364" s="46">
        <f t="shared" si="1928"/>
        <v>0</v>
      </c>
      <c r="U364" s="46">
        <f t="shared" si="1928"/>
        <v>0</v>
      </c>
      <c r="V364" s="46">
        <f t="shared" si="1928"/>
        <v>0</v>
      </c>
      <c r="W364" s="46">
        <f t="shared" si="1928"/>
        <v>0</v>
      </c>
      <c r="X364" s="50">
        <f t="shared" ref="X364:Y364" si="1929">IF(O364&gt;0,O364/K364,0)</f>
        <v>0</v>
      </c>
      <c r="Y364" s="50">
        <f t="shared" si="1929"/>
        <v>0</v>
      </c>
      <c r="Z364" s="50">
        <f t="shared" si="1658"/>
        <v>0</v>
      </c>
      <c r="AA364" s="46">
        <f t="shared" ref="AA364:BW364" si="1930">AA365</f>
        <v>0</v>
      </c>
      <c r="AB364" s="46">
        <f t="shared" si="1930"/>
        <v>0</v>
      </c>
      <c r="AC364" s="46">
        <f t="shared" si="1930"/>
        <v>0</v>
      </c>
      <c r="AD364" s="46">
        <f t="shared" si="1930"/>
        <v>0</v>
      </c>
      <c r="AE364" s="46">
        <f t="shared" si="1930"/>
        <v>0</v>
      </c>
      <c r="AF364" s="46">
        <f t="shared" si="1930"/>
        <v>0</v>
      </c>
      <c r="AG364" s="46">
        <f t="shared" si="1930"/>
        <v>0</v>
      </c>
      <c r="AH364" s="46">
        <f t="shared" si="1930"/>
        <v>0</v>
      </c>
      <c r="AI364" s="46">
        <f t="shared" si="1930"/>
        <v>0</v>
      </c>
      <c r="AJ364" s="46">
        <f t="shared" si="1930"/>
        <v>0</v>
      </c>
      <c r="AK364" s="46">
        <f t="shared" si="1930"/>
        <v>0</v>
      </c>
      <c r="AL364" s="46">
        <f t="shared" si="1930"/>
        <v>0</v>
      </c>
      <c r="AM364" s="46">
        <f t="shared" si="1930"/>
        <v>0</v>
      </c>
      <c r="AN364" s="46">
        <f t="shared" si="1930"/>
        <v>0</v>
      </c>
      <c r="AO364" s="46">
        <f t="shared" si="1930"/>
        <v>0</v>
      </c>
      <c r="AP364" s="46">
        <f t="shared" si="1930"/>
        <v>0</v>
      </c>
      <c r="AQ364" s="46">
        <f t="shared" si="1930"/>
        <v>0</v>
      </c>
      <c r="AR364" s="46">
        <f t="shared" si="1930"/>
        <v>0</v>
      </c>
      <c r="AS364" s="46">
        <f t="shared" si="1930"/>
        <v>0</v>
      </c>
      <c r="AT364" s="46">
        <f t="shared" si="1930"/>
        <v>0</v>
      </c>
      <c r="AU364" s="46">
        <f t="shared" si="1930"/>
        <v>0</v>
      </c>
      <c r="AV364" s="46">
        <f t="shared" si="1930"/>
        <v>0</v>
      </c>
      <c r="AW364" s="46">
        <f t="shared" si="1930"/>
        <v>0</v>
      </c>
      <c r="AX364" s="46">
        <f t="shared" si="1930"/>
        <v>0</v>
      </c>
      <c r="AY364" s="46">
        <f t="shared" si="1930"/>
        <v>0</v>
      </c>
      <c r="AZ364" s="46">
        <f t="shared" si="1930"/>
        <v>0</v>
      </c>
      <c r="BA364" s="46">
        <f t="shared" si="1930"/>
        <v>0</v>
      </c>
      <c r="BB364" s="46">
        <f t="shared" si="1930"/>
        <v>0</v>
      </c>
      <c r="BC364" s="46">
        <f t="shared" si="1930"/>
        <v>0</v>
      </c>
      <c r="BD364" s="46">
        <f t="shared" si="1930"/>
        <v>0</v>
      </c>
      <c r="BE364" s="46">
        <f t="shared" si="1930"/>
        <v>0</v>
      </c>
      <c r="BF364" s="46">
        <f t="shared" si="1930"/>
        <v>0</v>
      </c>
      <c r="BG364" s="46">
        <f t="shared" si="1930"/>
        <v>0</v>
      </c>
      <c r="BH364" s="46">
        <f t="shared" si="1930"/>
        <v>0</v>
      </c>
      <c r="BI364" s="46">
        <f t="shared" si="1930"/>
        <v>0</v>
      </c>
      <c r="BJ364" s="46">
        <f t="shared" si="1930"/>
        <v>0</v>
      </c>
      <c r="BK364" s="46">
        <f t="shared" si="1930"/>
        <v>0</v>
      </c>
      <c r="BL364" s="46">
        <f t="shared" si="1930"/>
        <v>0</v>
      </c>
      <c r="BM364" s="46">
        <f t="shared" si="1930"/>
        <v>0</v>
      </c>
      <c r="BN364" s="46">
        <f t="shared" si="1930"/>
        <v>0</v>
      </c>
      <c r="BO364" s="46">
        <f t="shared" si="1930"/>
        <v>0</v>
      </c>
      <c r="BP364" s="46">
        <f t="shared" si="1930"/>
        <v>0</v>
      </c>
      <c r="BQ364" s="46">
        <f t="shared" si="1930"/>
        <v>0</v>
      </c>
      <c r="BR364" s="46">
        <f t="shared" si="1930"/>
        <v>0</v>
      </c>
      <c r="BS364" s="46">
        <f t="shared" si="1930"/>
        <v>0</v>
      </c>
      <c r="BT364" s="46">
        <f t="shared" si="1930"/>
        <v>0</v>
      </c>
      <c r="BU364" s="46">
        <f t="shared" si="1930"/>
        <v>0</v>
      </c>
      <c r="BV364" s="46">
        <f t="shared" si="1930"/>
        <v>0</v>
      </c>
      <c r="BW364" s="46">
        <f t="shared" si="1930"/>
        <v>0</v>
      </c>
      <c r="BX364" s="6"/>
      <c r="BY364" s="6"/>
      <c r="BZ364" s="6"/>
      <c r="CA364" s="6"/>
      <c r="CB364" s="6"/>
      <c r="CC364" s="6"/>
      <c r="CD364" s="6"/>
      <c r="CE364" s="6"/>
      <c r="CF364" s="6"/>
      <c r="CG364" s="6"/>
    </row>
    <row r="365" spans="1:85" ht="15.75" customHeight="1">
      <c r="A365" s="71"/>
      <c r="B365" s="103"/>
      <c r="C365" s="68" t="s">
        <v>340</v>
      </c>
      <c r="D365" s="171" t="s">
        <v>444</v>
      </c>
      <c r="E365" s="99">
        <v>0</v>
      </c>
      <c r="F365" s="99">
        <v>0</v>
      </c>
      <c r="G365" s="58">
        <f>E365-F365</f>
        <v>0</v>
      </c>
      <c r="H365" s="56">
        <v>40000</v>
      </c>
      <c r="I365" s="59">
        <f t="shared" si="1582"/>
        <v>0</v>
      </c>
      <c r="J365" s="59">
        <f t="shared" si="1583"/>
        <v>0</v>
      </c>
      <c r="K365" s="74">
        <v>0</v>
      </c>
      <c r="L365" s="74">
        <v>0</v>
      </c>
      <c r="M365" s="74">
        <v>0</v>
      </c>
      <c r="N365" s="74">
        <v>0</v>
      </c>
      <c r="O365" s="61">
        <f t="shared" ref="O365:Q365" si="1931">AA365+AD365+AG365+AJ365+AM365+AP365+AS365+AV365+AY365+BB365+BE365+BH365</f>
        <v>0</v>
      </c>
      <c r="P365" s="61">
        <f t="shared" si="1931"/>
        <v>0</v>
      </c>
      <c r="Q365" s="61">
        <f t="shared" si="1931"/>
        <v>0</v>
      </c>
      <c r="R365" s="61">
        <f t="shared" ref="R365:T365" si="1932">IF(BK365=0,SUM(AA365+AD365+AG365+AJ365+AM365+AP365+AS365+AV365+AY365+BB365+BE365+BH365),BK365)</f>
        <v>0</v>
      </c>
      <c r="S365" s="61">
        <f t="shared" si="1932"/>
        <v>0</v>
      </c>
      <c r="T365" s="61">
        <f t="shared" si="1932"/>
        <v>0</v>
      </c>
      <c r="U365" s="63">
        <f>K365-O365</f>
        <v>0</v>
      </c>
      <c r="V365" s="63">
        <f>L365-M365-S365</f>
        <v>0</v>
      </c>
      <c r="W365" s="63">
        <f>N365-Q365</f>
        <v>0</v>
      </c>
      <c r="X365" s="64">
        <f t="shared" ref="X365:Y365" si="1933">IF(O365&gt;0,O365/K365,0)</f>
        <v>0</v>
      </c>
      <c r="Y365" s="64">
        <f t="shared" si="1933"/>
        <v>0</v>
      </c>
      <c r="Z365" s="64">
        <f t="shared" si="1658"/>
        <v>0</v>
      </c>
      <c r="AA365" s="65"/>
      <c r="AB365" s="65"/>
      <c r="AC365" s="65"/>
      <c r="AD365" s="65"/>
      <c r="AE365" s="66"/>
      <c r="AF365" s="66"/>
      <c r="AG365" s="66"/>
      <c r="AH365" s="66"/>
      <c r="AI365" s="65"/>
      <c r="AJ365" s="65"/>
      <c r="AK365" s="65"/>
      <c r="AL365" s="65"/>
      <c r="AM365" s="65"/>
      <c r="AN365" s="65"/>
      <c r="AO365" s="65"/>
      <c r="AP365" s="65"/>
      <c r="AQ365" s="65"/>
      <c r="AR365" s="65"/>
      <c r="AS365" s="65"/>
      <c r="AT365" s="65"/>
      <c r="AU365" s="65"/>
      <c r="AV365" s="65"/>
      <c r="AW365" s="65"/>
      <c r="AX365" s="65"/>
      <c r="AY365" s="65"/>
      <c r="AZ365" s="65"/>
      <c r="BA365" s="65"/>
      <c r="BB365" s="65"/>
      <c r="BC365" s="65"/>
      <c r="BD365" s="65"/>
      <c r="BE365" s="65"/>
      <c r="BF365" s="65"/>
      <c r="BG365" s="65"/>
      <c r="BH365" s="65"/>
      <c r="BI365" s="65"/>
      <c r="BJ365" s="65"/>
      <c r="BK365" s="65">
        <v>0</v>
      </c>
      <c r="BL365" s="65">
        <v>0</v>
      </c>
      <c r="BM365" s="65">
        <v>0</v>
      </c>
      <c r="BN365" s="65">
        <f>IF(O365-BK365&gt;0,O365-BK365,0)</f>
        <v>0</v>
      </c>
      <c r="BO365" s="67">
        <f>IF(Q365-BM365&gt;0,Q365-BM365,0)</f>
        <v>0</v>
      </c>
      <c r="BP365" s="65">
        <f>IF(BN365+BO365&gt;0,BN365+BO365,0)</f>
        <v>0</v>
      </c>
      <c r="BQ365" s="65">
        <f>IF(U365=0,0,U365)</f>
        <v>0</v>
      </c>
      <c r="BR365" s="65">
        <f>IF(W365=0,0,W365)</f>
        <v>0</v>
      </c>
      <c r="BS365" s="65">
        <f>IF(BQ365+BR365&gt;0,BQ365+BR365,0)</f>
        <v>0</v>
      </c>
      <c r="BT365" s="65">
        <f>IF(V365&gt;0,V365,0)</f>
        <v>0</v>
      </c>
      <c r="BU365" s="65">
        <f>IF(BP365=0,0,BP365)</f>
        <v>0</v>
      </c>
      <c r="BV365" s="65">
        <f>IF(BS365=0,0,BS365)</f>
        <v>0</v>
      </c>
      <c r="BW365" s="65">
        <f>IF(BP365+BT365+BV365&gt;0,BP365+BT365+BV365,0)</f>
        <v>0</v>
      </c>
      <c r="BX365" s="6"/>
      <c r="BY365" s="6"/>
      <c r="BZ365" s="6"/>
      <c r="CA365" s="6"/>
      <c r="CB365" s="6"/>
      <c r="CC365" s="6"/>
      <c r="CD365" s="6"/>
      <c r="CE365" s="6"/>
      <c r="CF365" s="6"/>
      <c r="CG365" s="6"/>
    </row>
    <row r="366" spans="1:85" ht="15.75">
      <c r="A366" s="75"/>
      <c r="B366" s="76"/>
      <c r="C366" s="77"/>
      <c r="D366" s="44" t="s">
        <v>168</v>
      </c>
      <c r="E366" s="45">
        <f t="shared" ref="E366:H366" si="1934">SUM(E367)</f>
        <v>0</v>
      </c>
      <c r="F366" s="45">
        <f t="shared" si="1934"/>
        <v>0</v>
      </c>
      <c r="G366" s="45">
        <f t="shared" si="1934"/>
        <v>0</v>
      </c>
      <c r="H366" s="45">
        <f t="shared" si="1934"/>
        <v>0</v>
      </c>
      <c r="I366" s="47">
        <f t="shared" si="1582"/>
        <v>0</v>
      </c>
      <c r="J366" s="47">
        <f t="shared" si="1583"/>
        <v>0</v>
      </c>
      <c r="K366" s="45">
        <f t="shared" ref="K366:W366" si="1935">SUM(K367)</f>
        <v>0</v>
      </c>
      <c r="L366" s="45">
        <f t="shared" si="1935"/>
        <v>0</v>
      </c>
      <c r="M366" s="45">
        <f t="shared" si="1935"/>
        <v>0</v>
      </c>
      <c r="N366" s="45">
        <f t="shared" si="1935"/>
        <v>0</v>
      </c>
      <c r="O366" s="45">
        <f t="shared" si="1935"/>
        <v>0</v>
      </c>
      <c r="P366" s="45">
        <f t="shared" si="1935"/>
        <v>0</v>
      </c>
      <c r="Q366" s="45">
        <f t="shared" si="1935"/>
        <v>0</v>
      </c>
      <c r="R366" s="45">
        <f t="shared" si="1935"/>
        <v>0</v>
      </c>
      <c r="S366" s="45">
        <f t="shared" si="1935"/>
        <v>0</v>
      </c>
      <c r="T366" s="45">
        <f t="shared" si="1935"/>
        <v>0</v>
      </c>
      <c r="U366" s="45">
        <f t="shared" si="1935"/>
        <v>0</v>
      </c>
      <c r="V366" s="45">
        <f t="shared" si="1935"/>
        <v>0</v>
      </c>
      <c r="W366" s="45">
        <f t="shared" si="1935"/>
        <v>0</v>
      </c>
      <c r="X366" s="50">
        <f t="shared" ref="X366:Y366" si="1936">IF(O366&gt;0,O366/K366,0)</f>
        <v>0</v>
      </c>
      <c r="Y366" s="50">
        <f t="shared" si="1936"/>
        <v>0</v>
      </c>
      <c r="Z366" s="50">
        <f t="shared" si="1658"/>
        <v>0</v>
      </c>
      <c r="AA366" s="45">
        <f t="shared" ref="AA366:BW366" si="1937">SUM(AA367)</f>
        <v>0</v>
      </c>
      <c r="AB366" s="45">
        <f t="shared" si="1937"/>
        <v>0</v>
      </c>
      <c r="AC366" s="45">
        <f t="shared" si="1937"/>
        <v>0</v>
      </c>
      <c r="AD366" s="45">
        <f t="shared" si="1937"/>
        <v>0</v>
      </c>
      <c r="AE366" s="45">
        <f t="shared" si="1937"/>
        <v>0</v>
      </c>
      <c r="AF366" s="45">
        <f t="shared" si="1937"/>
        <v>0</v>
      </c>
      <c r="AG366" s="45">
        <f t="shared" si="1937"/>
        <v>0</v>
      </c>
      <c r="AH366" s="45">
        <f t="shared" si="1937"/>
        <v>0</v>
      </c>
      <c r="AI366" s="45">
        <f t="shared" si="1937"/>
        <v>0</v>
      </c>
      <c r="AJ366" s="45">
        <f t="shared" si="1937"/>
        <v>0</v>
      </c>
      <c r="AK366" s="45">
        <f t="shared" si="1937"/>
        <v>0</v>
      </c>
      <c r="AL366" s="45">
        <f t="shared" si="1937"/>
        <v>0</v>
      </c>
      <c r="AM366" s="45">
        <f t="shared" si="1937"/>
        <v>0</v>
      </c>
      <c r="AN366" s="45">
        <f t="shared" si="1937"/>
        <v>0</v>
      </c>
      <c r="AO366" s="45">
        <f t="shared" si="1937"/>
        <v>0</v>
      </c>
      <c r="AP366" s="45">
        <f t="shared" si="1937"/>
        <v>0</v>
      </c>
      <c r="AQ366" s="45">
        <f t="shared" si="1937"/>
        <v>0</v>
      </c>
      <c r="AR366" s="45">
        <f t="shared" si="1937"/>
        <v>0</v>
      </c>
      <c r="AS366" s="45">
        <f t="shared" si="1937"/>
        <v>0</v>
      </c>
      <c r="AT366" s="45">
        <f t="shared" si="1937"/>
        <v>0</v>
      </c>
      <c r="AU366" s="45">
        <f t="shared" si="1937"/>
        <v>0</v>
      </c>
      <c r="AV366" s="45">
        <f t="shared" si="1937"/>
        <v>0</v>
      </c>
      <c r="AW366" s="45">
        <f t="shared" si="1937"/>
        <v>0</v>
      </c>
      <c r="AX366" s="45">
        <f t="shared" si="1937"/>
        <v>0</v>
      </c>
      <c r="AY366" s="45">
        <f t="shared" si="1937"/>
        <v>0</v>
      </c>
      <c r="AZ366" s="45">
        <f t="shared" si="1937"/>
        <v>0</v>
      </c>
      <c r="BA366" s="45">
        <f t="shared" si="1937"/>
        <v>0</v>
      </c>
      <c r="BB366" s="45">
        <f t="shared" si="1937"/>
        <v>0</v>
      </c>
      <c r="BC366" s="45">
        <f t="shared" si="1937"/>
        <v>0</v>
      </c>
      <c r="BD366" s="45">
        <f t="shared" si="1937"/>
        <v>0</v>
      </c>
      <c r="BE366" s="45">
        <f t="shared" si="1937"/>
        <v>0</v>
      </c>
      <c r="BF366" s="45">
        <f t="shared" si="1937"/>
        <v>0</v>
      </c>
      <c r="BG366" s="45">
        <f t="shared" si="1937"/>
        <v>0</v>
      </c>
      <c r="BH366" s="45">
        <f t="shared" si="1937"/>
        <v>0</v>
      </c>
      <c r="BI366" s="45">
        <f t="shared" si="1937"/>
        <v>0</v>
      </c>
      <c r="BJ366" s="45">
        <f t="shared" si="1937"/>
        <v>0</v>
      </c>
      <c r="BK366" s="45">
        <f t="shared" si="1937"/>
        <v>0</v>
      </c>
      <c r="BL366" s="45">
        <f t="shared" si="1937"/>
        <v>0</v>
      </c>
      <c r="BM366" s="45">
        <f t="shared" si="1937"/>
        <v>0</v>
      </c>
      <c r="BN366" s="45">
        <f t="shared" si="1937"/>
        <v>0</v>
      </c>
      <c r="BO366" s="45">
        <f t="shared" si="1937"/>
        <v>0</v>
      </c>
      <c r="BP366" s="45">
        <f t="shared" si="1937"/>
        <v>0</v>
      </c>
      <c r="BQ366" s="45">
        <f t="shared" si="1937"/>
        <v>0</v>
      </c>
      <c r="BR366" s="45">
        <f t="shared" si="1937"/>
        <v>0</v>
      </c>
      <c r="BS366" s="45">
        <f t="shared" si="1937"/>
        <v>0</v>
      </c>
      <c r="BT366" s="45">
        <f t="shared" si="1937"/>
        <v>0</v>
      </c>
      <c r="BU366" s="45">
        <f t="shared" si="1937"/>
        <v>0</v>
      </c>
      <c r="BV366" s="45">
        <f t="shared" si="1937"/>
        <v>0</v>
      </c>
      <c r="BW366" s="45">
        <f t="shared" si="1937"/>
        <v>0</v>
      </c>
      <c r="BX366" s="51"/>
      <c r="BY366" s="51"/>
      <c r="BZ366" s="51"/>
      <c r="CA366" s="51"/>
      <c r="CB366" s="51"/>
      <c r="CC366" s="51"/>
      <c r="CD366" s="51"/>
      <c r="CE366" s="51"/>
      <c r="CF366" s="51"/>
      <c r="CG366" s="51"/>
    </row>
    <row r="367" spans="1:85" ht="15.75" customHeight="1">
      <c r="A367" s="68"/>
      <c r="B367" s="103"/>
      <c r="C367" s="68" t="s">
        <v>456</v>
      </c>
      <c r="D367" s="105" t="s">
        <v>485</v>
      </c>
      <c r="E367" s="99">
        <v>0</v>
      </c>
      <c r="F367" s="99">
        <v>0</v>
      </c>
      <c r="G367" s="58">
        <f>E367-F367</f>
        <v>0</v>
      </c>
      <c r="H367" s="57">
        <v>0</v>
      </c>
      <c r="I367" s="59">
        <f t="shared" si="1582"/>
        <v>0</v>
      </c>
      <c r="J367" s="59">
        <f t="shared" si="1583"/>
        <v>0</v>
      </c>
      <c r="K367" s="74">
        <v>0</v>
      </c>
      <c r="L367" s="74">
        <v>0</v>
      </c>
      <c r="M367" s="74">
        <v>0</v>
      </c>
      <c r="N367" s="74">
        <v>0</v>
      </c>
      <c r="O367" s="61">
        <f t="shared" ref="O367:Q367" si="1938">AA367+AD367+AG367+AJ367+AM367+AP367+AS367+AV367+AY367+BB367+BE367+BH367</f>
        <v>0</v>
      </c>
      <c r="P367" s="61">
        <f t="shared" si="1938"/>
        <v>0</v>
      </c>
      <c r="Q367" s="61">
        <f t="shared" si="1938"/>
        <v>0</v>
      </c>
      <c r="R367" s="61">
        <f t="shared" ref="R367:T367" si="1939">IF(BK367=0,SUM(AA367+AD367+AG367+AJ367+AM367+AP367+AS367+AV367+AY367+BB367+BE367+BH367),BK367)</f>
        <v>0</v>
      </c>
      <c r="S367" s="61">
        <f t="shared" si="1939"/>
        <v>0</v>
      </c>
      <c r="T367" s="61">
        <f t="shared" si="1939"/>
        <v>0</v>
      </c>
      <c r="U367" s="208">
        <f>K367-O367</f>
        <v>0</v>
      </c>
      <c r="V367" s="63">
        <f>L367-M367-S367</f>
        <v>0</v>
      </c>
      <c r="W367" s="208">
        <f>N367-Q367</f>
        <v>0</v>
      </c>
      <c r="X367" s="64">
        <f t="shared" ref="X367:Y367" si="1940">IF(O367&gt;0,O367/K367,0)</f>
        <v>0</v>
      </c>
      <c r="Y367" s="64">
        <f t="shared" si="1940"/>
        <v>0</v>
      </c>
      <c r="Z367" s="64">
        <f t="shared" si="1658"/>
        <v>0</v>
      </c>
      <c r="AA367" s="65"/>
      <c r="AB367" s="65"/>
      <c r="AC367" s="65"/>
      <c r="AD367" s="65"/>
      <c r="AE367" s="66"/>
      <c r="AF367" s="66"/>
      <c r="AG367" s="66"/>
      <c r="AH367" s="66"/>
      <c r="AI367" s="65"/>
      <c r="AJ367" s="65"/>
      <c r="AK367" s="65"/>
      <c r="AL367" s="65"/>
      <c r="AM367" s="65"/>
      <c r="AN367" s="65"/>
      <c r="AO367" s="65"/>
      <c r="AP367" s="65"/>
      <c r="AQ367" s="65"/>
      <c r="AR367" s="65"/>
      <c r="AS367" s="65"/>
      <c r="AT367" s="65"/>
      <c r="AU367" s="65"/>
      <c r="AV367" s="65"/>
      <c r="AW367" s="65"/>
      <c r="AX367" s="65"/>
      <c r="AY367" s="65"/>
      <c r="AZ367" s="65"/>
      <c r="BA367" s="65"/>
      <c r="BB367" s="65"/>
      <c r="BC367" s="65"/>
      <c r="BD367" s="65"/>
      <c r="BE367" s="65"/>
      <c r="BF367" s="65"/>
      <c r="BG367" s="65"/>
      <c r="BH367" s="65"/>
      <c r="BI367" s="65"/>
      <c r="BJ367" s="65"/>
      <c r="BK367" s="65">
        <v>0</v>
      </c>
      <c r="BL367" s="65">
        <v>0</v>
      </c>
      <c r="BM367" s="65">
        <v>0</v>
      </c>
      <c r="BN367" s="65">
        <f>IF(O367-BK367&gt;0,O367-BK367,0)</f>
        <v>0</v>
      </c>
      <c r="BO367" s="67">
        <f>IF(Q367-BM367&gt;0,Q367-BM367,0)</f>
        <v>0</v>
      </c>
      <c r="BP367" s="65">
        <f>IF(BN367+BO367&gt;0,BN367+BO367,0)</f>
        <v>0</v>
      </c>
      <c r="BQ367" s="65">
        <f>IF(U367=0,0,U367)</f>
        <v>0</v>
      </c>
      <c r="BR367" s="65">
        <f>IF(W367=0,0,W367)</f>
        <v>0</v>
      </c>
      <c r="BS367" s="65">
        <f>IF(BQ367+BR367&gt;0,BQ367+BR367,0)</f>
        <v>0</v>
      </c>
      <c r="BT367" s="65">
        <f>IF(V367&gt;0,V367,0)</f>
        <v>0</v>
      </c>
      <c r="BU367" s="65">
        <f>IF(BP367=0,0,BP367)</f>
        <v>0</v>
      </c>
      <c r="BV367" s="65">
        <f>IF(BS367=0,0,BS367)</f>
        <v>0</v>
      </c>
      <c r="BW367" s="65">
        <f>IF(BP367+BT367+BV367&gt;0,BP367+BT367+BV367,0)</f>
        <v>0</v>
      </c>
      <c r="BX367" s="6"/>
      <c r="BY367" s="6"/>
      <c r="BZ367" s="6"/>
      <c r="CA367" s="6"/>
      <c r="CB367" s="6"/>
      <c r="CC367" s="6"/>
      <c r="CD367" s="6"/>
      <c r="CE367" s="6"/>
      <c r="CF367" s="6"/>
      <c r="CG367" s="6"/>
    </row>
    <row r="368" spans="1:85" ht="15.75" customHeight="1">
      <c r="A368" s="260"/>
      <c r="B368" s="261"/>
      <c r="C368" s="262"/>
      <c r="D368" s="78" t="s">
        <v>247</v>
      </c>
      <c r="E368" s="45">
        <f t="shared" ref="E368:H368" si="1941">E369</f>
        <v>0</v>
      </c>
      <c r="F368" s="46">
        <f t="shared" si="1941"/>
        <v>0</v>
      </c>
      <c r="G368" s="46">
        <f t="shared" si="1941"/>
        <v>0</v>
      </c>
      <c r="H368" s="46">
        <f t="shared" si="1941"/>
        <v>8000</v>
      </c>
      <c r="I368" s="47">
        <f t="shared" si="1582"/>
        <v>0</v>
      </c>
      <c r="J368" s="47">
        <f t="shared" si="1583"/>
        <v>0</v>
      </c>
      <c r="K368" s="46">
        <f t="shared" ref="K368:W368" si="1942">K369</f>
        <v>0</v>
      </c>
      <c r="L368" s="46">
        <f t="shared" si="1942"/>
        <v>0</v>
      </c>
      <c r="M368" s="46">
        <f t="shared" si="1942"/>
        <v>0</v>
      </c>
      <c r="N368" s="46">
        <f t="shared" si="1942"/>
        <v>0</v>
      </c>
      <c r="O368" s="46">
        <f t="shared" si="1942"/>
        <v>0</v>
      </c>
      <c r="P368" s="46">
        <f t="shared" si="1942"/>
        <v>0</v>
      </c>
      <c r="Q368" s="46">
        <f t="shared" si="1942"/>
        <v>0</v>
      </c>
      <c r="R368" s="46">
        <f t="shared" si="1942"/>
        <v>0</v>
      </c>
      <c r="S368" s="46">
        <f t="shared" si="1942"/>
        <v>0</v>
      </c>
      <c r="T368" s="46">
        <f t="shared" si="1942"/>
        <v>0</v>
      </c>
      <c r="U368" s="46">
        <f t="shared" si="1942"/>
        <v>0</v>
      </c>
      <c r="V368" s="46">
        <f t="shared" si="1942"/>
        <v>0</v>
      </c>
      <c r="W368" s="46">
        <f t="shared" si="1942"/>
        <v>0</v>
      </c>
      <c r="X368" s="50">
        <f t="shared" ref="X368:Y368" si="1943">IF(O368&gt;0,O368/K368,0)</f>
        <v>0</v>
      </c>
      <c r="Y368" s="50">
        <f t="shared" si="1943"/>
        <v>0</v>
      </c>
      <c r="Z368" s="50">
        <f t="shared" si="1658"/>
        <v>0</v>
      </c>
      <c r="AA368" s="46">
        <f t="shared" ref="AA368:BW368" si="1944">AA369</f>
        <v>0</v>
      </c>
      <c r="AB368" s="46">
        <f t="shared" si="1944"/>
        <v>0</v>
      </c>
      <c r="AC368" s="46">
        <f t="shared" si="1944"/>
        <v>0</v>
      </c>
      <c r="AD368" s="46">
        <f t="shared" si="1944"/>
        <v>0</v>
      </c>
      <c r="AE368" s="46">
        <f t="shared" si="1944"/>
        <v>0</v>
      </c>
      <c r="AF368" s="46">
        <f t="shared" si="1944"/>
        <v>0</v>
      </c>
      <c r="AG368" s="46">
        <f t="shared" si="1944"/>
        <v>0</v>
      </c>
      <c r="AH368" s="46">
        <f t="shared" si="1944"/>
        <v>0</v>
      </c>
      <c r="AI368" s="46">
        <f t="shared" si="1944"/>
        <v>0</v>
      </c>
      <c r="AJ368" s="46">
        <f t="shared" si="1944"/>
        <v>0</v>
      </c>
      <c r="AK368" s="46">
        <f t="shared" si="1944"/>
        <v>0</v>
      </c>
      <c r="AL368" s="46">
        <f t="shared" si="1944"/>
        <v>0</v>
      </c>
      <c r="AM368" s="46">
        <f t="shared" si="1944"/>
        <v>0</v>
      </c>
      <c r="AN368" s="46">
        <f t="shared" si="1944"/>
        <v>0</v>
      </c>
      <c r="AO368" s="46">
        <f t="shared" si="1944"/>
        <v>0</v>
      </c>
      <c r="AP368" s="46">
        <f t="shared" si="1944"/>
        <v>0</v>
      </c>
      <c r="AQ368" s="46">
        <f t="shared" si="1944"/>
        <v>0</v>
      </c>
      <c r="AR368" s="46">
        <f t="shared" si="1944"/>
        <v>0</v>
      </c>
      <c r="AS368" s="46">
        <f t="shared" si="1944"/>
        <v>0</v>
      </c>
      <c r="AT368" s="46">
        <f t="shared" si="1944"/>
        <v>0</v>
      </c>
      <c r="AU368" s="46">
        <f t="shared" si="1944"/>
        <v>0</v>
      </c>
      <c r="AV368" s="46">
        <f t="shared" si="1944"/>
        <v>0</v>
      </c>
      <c r="AW368" s="46">
        <f t="shared" si="1944"/>
        <v>0</v>
      </c>
      <c r="AX368" s="46">
        <f t="shared" si="1944"/>
        <v>0</v>
      </c>
      <c r="AY368" s="46">
        <f t="shared" si="1944"/>
        <v>0</v>
      </c>
      <c r="AZ368" s="46">
        <f t="shared" si="1944"/>
        <v>0</v>
      </c>
      <c r="BA368" s="46">
        <f t="shared" si="1944"/>
        <v>0</v>
      </c>
      <c r="BB368" s="46">
        <f t="shared" si="1944"/>
        <v>0</v>
      </c>
      <c r="BC368" s="46">
        <f t="shared" si="1944"/>
        <v>0</v>
      </c>
      <c r="BD368" s="46">
        <f t="shared" si="1944"/>
        <v>0</v>
      </c>
      <c r="BE368" s="46">
        <f t="shared" si="1944"/>
        <v>0</v>
      </c>
      <c r="BF368" s="46">
        <f t="shared" si="1944"/>
        <v>0</v>
      </c>
      <c r="BG368" s="46">
        <f t="shared" si="1944"/>
        <v>0</v>
      </c>
      <c r="BH368" s="46">
        <f t="shared" si="1944"/>
        <v>0</v>
      </c>
      <c r="BI368" s="46">
        <f t="shared" si="1944"/>
        <v>0</v>
      </c>
      <c r="BJ368" s="46">
        <f t="shared" si="1944"/>
        <v>0</v>
      </c>
      <c r="BK368" s="46">
        <f t="shared" si="1944"/>
        <v>0</v>
      </c>
      <c r="BL368" s="46">
        <f t="shared" si="1944"/>
        <v>0</v>
      </c>
      <c r="BM368" s="46">
        <f t="shared" si="1944"/>
        <v>0</v>
      </c>
      <c r="BN368" s="46">
        <f t="shared" si="1944"/>
        <v>0</v>
      </c>
      <c r="BO368" s="46">
        <f t="shared" si="1944"/>
        <v>0</v>
      </c>
      <c r="BP368" s="46">
        <f t="shared" si="1944"/>
        <v>0</v>
      </c>
      <c r="BQ368" s="46">
        <f t="shared" si="1944"/>
        <v>0</v>
      </c>
      <c r="BR368" s="46">
        <f t="shared" si="1944"/>
        <v>0</v>
      </c>
      <c r="BS368" s="46">
        <f t="shared" si="1944"/>
        <v>0</v>
      </c>
      <c r="BT368" s="46">
        <f t="shared" si="1944"/>
        <v>0</v>
      </c>
      <c r="BU368" s="46">
        <f t="shared" si="1944"/>
        <v>0</v>
      </c>
      <c r="BV368" s="46">
        <f t="shared" si="1944"/>
        <v>0</v>
      </c>
      <c r="BW368" s="46">
        <f t="shared" si="1944"/>
        <v>0</v>
      </c>
      <c r="BX368" s="6"/>
      <c r="BY368" s="6"/>
      <c r="BZ368" s="6"/>
      <c r="CA368" s="6"/>
      <c r="CB368" s="6"/>
      <c r="CC368" s="6"/>
      <c r="CD368" s="6"/>
      <c r="CE368" s="6"/>
      <c r="CF368" s="6"/>
      <c r="CG368" s="6"/>
    </row>
    <row r="369" spans="1:85" ht="15.75" customHeight="1">
      <c r="A369" s="68"/>
      <c r="B369" s="103"/>
      <c r="C369" s="68" t="s">
        <v>342</v>
      </c>
      <c r="D369" s="70" t="s">
        <v>463</v>
      </c>
      <c r="E369" s="99">
        <v>0</v>
      </c>
      <c r="F369" s="99">
        <v>0</v>
      </c>
      <c r="G369" s="58">
        <f>E369-F369</f>
        <v>0</v>
      </c>
      <c r="H369" s="56">
        <v>8000</v>
      </c>
      <c r="I369" s="59">
        <f t="shared" si="1582"/>
        <v>0</v>
      </c>
      <c r="J369" s="59">
        <f t="shared" si="1583"/>
        <v>0</v>
      </c>
      <c r="K369" s="74">
        <v>0</v>
      </c>
      <c r="L369" s="74">
        <v>0</v>
      </c>
      <c r="M369" s="74">
        <v>0</v>
      </c>
      <c r="N369" s="74">
        <v>0</v>
      </c>
      <c r="O369" s="61">
        <f t="shared" ref="O369:Q369" si="1945">AA369+AD369+AG369+AJ369+AM369+AP369+AS369+AV369+AY369+BB369+BE369+BH369</f>
        <v>0</v>
      </c>
      <c r="P369" s="61">
        <f t="shared" si="1945"/>
        <v>0</v>
      </c>
      <c r="Q369" s="61">
        <f t="shared" si="1945"/>
        <v>0</v>
      </c>
      <c r="R369" s="61">
        <f t="shared" ref="R369:T369" si="1946">IF(BK369=0,SUM(AA369+AD369+AG369+AJ369+AM369+AP369+AS369+AV369+AY369+BB369+BE369+BH369),BK369)</f>
        <v>0</v>
      </c>
      <c r="S369" s="61">
        <f t="shared" si="1946"/>
        <v>0</v>
      </c>
      <c r="T369" s="61">
        <f t="shared" si="1946"/>
        <v>0</v>
      </c>
      <c r="U369" s="63">
        <f>K369-O369</f>
        <v>0</v>
      </c>
      <c r="V369" s="63">
        <f>L369-M369-S369</f>
        <v>0</v>
      </c>
      <c r="W369" s="63">
        <f>N369-Q369</f>
        <v>0</v>
      </c>
      <c r="X369" s="64">
        <f t="shared" ref="X369:Y369" si="1947">IF(O369&gt;0,O369/K369,0)</f>
        <v>0</v>
      </c>
      <c r="Y369" s="64">
        <f t="shared" si="1947"/>
        <v>0</v>
      </c>
      <c r="Z369" s="64">
        <f t="shared" si="1658"/>
        <v>0</v>
      </c>
      <c r="AA369" s="65"/>
      <c r="AB369" s="65"/>
      <c r="AC369" s="65"/>
      <c r="AD369" s="65"/>
      <c r="AE369" s="66"/>
      <c r="AF369" s="66"/>
      <c r="AG369" s="66"/>
      <c r="AH369" s="66"/>
      <c r="AI369" s="65"/>
      <c r="AJ369" s="65"/>
      <c r="AK369" s="65"/>
      <c r="AL369" s="65"/>
      <c r="AM369" s="65"/>
      <c r="AN369" s="65"/>
      <c r="AO369" s="65"/>
      <c r="AP369" s="65"/>
      <c r="AQ369" s="65"/>
      <c r="AR369" s="65"/>
      <c r="AS369" s="65"/>
      <c r="AT369" s="65"/>
      <c r="AU369" s="65"/>
      <c r="AV369" s="65"/>
      <c r="AW369" s="65"/>
      <c r="AX369" s="65"/>
      <c r="AY369" s="65"/>
      <c r="AZ369" s="65"/>
      <c r="BA369" s="65"/>
      <c r="BB369" s="65"/>
      <c r="BC369" s="65"/>
      <c r="BD369" s="65"/>
      <c r="BE369" s="65"/>
      <c r="BF369" s="65"/>
      <c r="BG369" s="65"/>
      <c r="BH369" s="65"/>
      <c r="BI369" s="65"/>
      <c r="BJ369" s="65"/>
      <c r="BK369" s="65">
        <v>0</v>
      </c>
      <c r="BL369" s="65">
        <v>0</v>
      </c>
      <c r="BM369" s="65">
        <v>0</v>
      </c>
      <c r="BN369" s="65">
        <f>IF(O369-BK369&gt;0,O369-BK369,0)</f>
        <v>0</v>
      </c>
      <c r="BO369" s="67">
        <f>IF(Q369-BM369&gt;0,Q369-BM369,0)</f>
        <v>0</v>
      </c>
      <c r="BP369" s="65">
        <f>IF(BN369+BO369&gt;0,BN369+BO369,0)</f>
        <v>0</v>
      </c>
      <c r="BQ369" s="65">
        <f>IF(U369=0,0,U369)</f>
        <v>0</v>
      </c>
      <c r="BR369" s="65">
        <f>IF(W369=0,0,W369)</f>
        <v>0</v>
      </c>
      <c r="BS369" s="65">
        <f>IF(BQ369+BR369&gt;0,BQ369+BR369,0)</f>
        <v>0</v>
      </c>
      <c r="BT369" s="65">
        <f>IF(V369&gt;0,V369,0)</f>
        <v>0</v>
      </c>
      <c r="BU369" s="65">
        <f>IF(BP369=0,0,BP369)</f>
        <v>0</v>
      </c>
      <c r="BV369" s="65">
        <f>IF(BS369=0,0,BS369)</f>
        <v>0</v>
      </c>
      <c r="BW369" s="65">
        <f>IF(BP369+BT369+BV369&gt;0,BP369+BT369+BV369,0)</f>
        <v>0</v>
      </c>
      <c r="BX369" s="6"/>
      <c r="BY369" s="6"/>
      <c r="BZ369" s="6"/>
      <c r="CA369" s="6"/>
      <c r="CB369" s="6"/>
      <c r="CC369" s="6"/>
      <c r="CD369" s="6"/>
      <c r="CE369" s="6"/>
      <c r="CF369" s="6"/>
      <c r="CG369" s="6"/>
    </row>
    <row r="370" spans="1:85" ht="15.75">
      <c r="A370" s="75"/>
      <c r="B370" s="76"/>
      <c r="C370" s="77"/>
      <c r="D370" s="78" t="s">
        <v>264</v>
      </c>
      <c r="E370" s="45">
        <f t="shared" ref="E370:H370" si="1948">SUM(E371:E373)</f>
        <v>0</v>
      </c>
      <c r="F370" s="45">
        <f t="shared" si="1948"/>
        <v>0</v>
      </c>
      <c r="G370" s="45">
        <f t="shared" si="1948"/>
        <v>0</v>
      </c>
      <c r="H370" s="45">
        <f t="shared" si="1948"/>
        <v>200000</v>
      </c>
      <c r="I370" s="47">
        <f t="shared" si="1582"/>
        <v>0</v>
      </c>
      <c r="J370" s="47">
        <f t="shared" si="1583"/>
        <v>0</v>
      </c>
      <c r="K370" s="45">
        <f t="shared" ref="K370:W370" si="1949">SUM(K371:K373)</f>
        <v>0</v>
      </c>
      <c r="L370" s="45">
        <f t="shared" si="1949"/>
        <v>0</v>
      </c>
      <c r="M370" s="45">
        <f t="shared" si="1949"/>
        <v>0</v>
      </c>
      <c r="N370" s="45">
        <f t="shared" si="1949"/>
        <v>0</v>
      </c>
      <c r="O370" s="45">
        <f t="shared" si="1949"/>
        <v>0</v>
      </c>
      <c r="P370" s="45">
        <f t="shared" si="1949"/>
        <v>0</v>
      </c>
      <c r="Q370" s="45">
        <f t="shared" si="1949"/>
        <v>0</v>
      </c>
      <c r="R370" s="45">
        <f t="shared" si="1949"/>
        <v>0</v>
      </c>
      <c r="S370" s="45">
        <f t="shared" si="1949"/>
        <v>0</v>
      </c>
      <c r="T370" s="45">
        <f t="shared" si="1949"/>
        <v>0</v>
      </c>
      <c r="U370" s="45">
        <f t="shared" si="1949"/>
        <v>0</v>
      </c>
      <c r="V370" s="45">
        <f t="shared" si="1949"/>
        <v>0</v>
      </c>
      <c r="W370" s="45">
        <f t="shared" si="1949"/>
        <v>0</v>
      </c>
      <c r="X370" s="50">
        <f t="shared" ref="X370:Y370" si="1950">IF(O370&gt;0,O370/K370,0)</f>
        <v>0</v>
      </c>
      <c r="Y370" s="50">
        <f t="shared" si="1950"/>
        <v>0</v>
      </c>
      <c r="Z370" s="50">
        <f t="shared" si="1658"/>
        <v>0</v>
      </c>
      <c r="AA370" s="45">
        <f t="shared" ref="AA370:BW370" si="1951">SUM(AA371:AA373)</f>
        <v>0</v>
      </c>
      <c r="AB370" s="45">
        <f t="shared" si="1951"/>
        <v>0</v>
      </c>
      <c r="AC370" s="45">
        <f t="shared" si="1951"/>
        <v>0</v>
      </c>
      <c r="AD370" s="45">
        <f t="shared" si="1951"/>
        <v>0</v>
      </c>
      <c r="AE370" s="45">
        <f t="shared" si="1951"/>
        <v>0</v>
      </c>
      <c r="AF370" s="45">
        <f t="shared" si="1951"/>
        <v>0</v>
      </c>
      <c r="AG370" s="45">
        <f t="shared" si="1951"/>
        <v>0</v>
      </c>
      <c r="AH370" s="45">
        <f t="shared" si="1951"/>
        <v>0</v>
      </c>
      <c r="AI370" s="45">
        <f t="shared" si="1951"/>
        <v>0</v>
      </c>
      <c r="AJ370" s="45">
        <f t="shared" si="1951"/>
        <v>0</v>
      </c>
      <c r="AK370" s="45">
        <f t="shared" si="1951"/>
        <v>0</v>
      </c>
      <c r="AL370" s="45">
        <f t="shared" si="1951"/>
        <v>0</v>
      </c>
      <c r="AM370" s="45">
        <f t="shared" si="1951"/>
        <v>0</v>
      </c>
      <c r="AN370" s="45">
        <f t="shared" si="1951"/>
        <v>0</v>
      </c>
      <c r="AO370" s="45">
        <f t="shared" si="1951"/>
        <v>0</v>
      </c>
      <c r="AP370" s="45">
        <f t="shared" si="1951"/>
        <v>0</v>
      </c>
      <c r="AQ370" s="45">
        <f t="shared" si="1951"/>
        <v>0</v>
      </c>
      <c r="AR370" s="45">
        <f t="shared" si="1951"/>
        <v>0</v>
      </c>
      <c r="AS370" s="45">
        <f t="shared" si="1951"/>
        <v>0</v>
      </c>
      <c r="AT370" s="45">
        <f t="shared" si="1951"/>
        <v>0</v>
      </c>
      <c r="AU370" s="45">
        <f t="shared" si="1951"/>
        <v>0</v>
      </c>
      <c r="AV370" s="45">
        <f t="shared" si="1951"/>
        <v>0</v>
      </c>
      <c r="AW370" s="45">
        <f t="shared" si="1951"/>
        <v>0</v>
      </c>
      <c r="AX370" s="45">
        <f t="shared" si="1951"/>
        <v>0</v>
      </c>
      <c r="AY370" s="45">
        <f t="shared" si="1951"/>
        <v>0</v>
      </c>
      <c r="AZ370" s="45">
        <f t="shared" si="1951"/>
        <v>0</v>
      </c>
      <c r="BA370" s="45">
        <f t="shared" si="1951"/>
        <v>0</v>
      </c>
      <c r="BB370" s="45">
        <f t="shared" si="1951"/>
        <v>0</v>
      </c>
      <c r="BC370" s="45">
        <f t="shared" si="1951"/>
        <v>0</v>
      </c>
      <c r="BD370" s="45">
        <f t="shared" si="1951"/>
        <v>0</v>
      </c>
      <c r="BE370" s="45">
        <f t="shared" si="1951"/>
        <v>0</v>
      </c>
      <c r="BF370" s="45">
        <f t="shared" si="1951"/>
        <v>0</v>
      </c>
      <c r="BG370" s="45">
        <f t="shared" si="1951"/>
        <v>0</v>
      </c>
      <c r="BH370" s="45">
        <f t="shared" si="1951"/>
        <v>0</v>
      </c>
      <c r="BI370" s="45">
        <f t="shared" si="1951"/>
        <v>0</v>
      </c>
      <c r="BJ370" s="45">
        <f t="shared" si="1951"/>
        <v>0</v>
      </c>
      <c r="BK370" s="45">
        <f t="shared" si="1951"/>
        <v>0</v>
      </c>
      <c r="BL370" s="45">
        <f t="shared" si="1951"/>
        <v>0</v>
      </c>
      <c r="BM370" s="45">
        <f t="shared" si="1951"/>
        <v>0</v>
      </c>
      <c r="BN370" s="45">
        <f t="shared" si="1951"/>
        <v>0</v>
      </c>
      <c r="BO370" s="45">
        <f t="shared" si="1951"/>
        <v>0</v>
      </c>
      <c r="BP370" s="45">
        <f t="shared" si="1951"/>
        <v>0</v>
      </c>
      <c r="BQ370" s="45">
        <f t="shared" si="1951"/>
        <v>0</v>
      </c>
      <c r="BR370" s="45">
        <f t="shared" si="1951"/>
        <v>0</v>
      </c>
      <c r="BS370" s="45">
        <f t="shared" si="1951"/>
        <v>0</v>
      </c>
      <c r="BT370" s="45">
        <f t="shared" si="1951"/>
        <v>0</v>
      </c>
      <c r="BU370" s="45">
        <f t="shared" si="1951"/>
        <v>0</v>
      </c>
      <c r="BV370" s="45">
        <f t="shared" si="1951"/>
        <v>0</v>
      </c>
      <c r="BW370" s="45">
        <f t="shared" si="1951"/>
        <v>0</v>
      </c>
      <c r="BX370" s="51"/>
      <c r="BY370" s="51"/>
      <c r="BZ370" s="51"/>
      <c r="CA370" s="51"/>
      <c r="CB370" s="51"/>
      <c r="CC370" s="51"/>
      <c r="CD370" s="51"/>
      <c r="CE370" s="51"/>
      <c r="CF370" s="51"/>
      <c r="CG370" s="51"/>
    </row>
    <row r="371" spans="1:85" ht="15.75" customHeight="1">
      <c r="A371" s="68"/>
      <c r="B371" s="103"/>
      <c r="C371" s="68" t="s">
        <v>486</v>
      </c>
      <c r="D371" s="70" t="s">
        <v>487</v>
      </c>
      <c r="E371" s="99">
        <v>0</v>
      </c>
      <c r="F371" s="99">
        <v>0</v>
      </c>
      <c r="G371" s="58">
        <f t="shared" ref="G371:G373" si="1952">E371-F371</f>
        <v>0</v>
      </c>
      <c r="H371" s="56">
        <v>50000</v>
      </c>
      <c r="I371" s="59">
        <f t="shared" si="1582"/>
        <v>0</v>
      </c>
      <c r="J371" s="59">
        <f t="shared" si="1583"/>
        <v>0</v>
      </c>
      <c r="K371" s="74">
        <v>0</v>
      </c>
      <c r="L371" s="74">
        <v>0</v>
      </c>
      <c r="M371" s="74">
        <v>0</v>
      </c>
      <c r="N371" s="74">
        <v>0</v>
      </c>
      <c r="O371" s="61">
        <f t="shared" ref="O371:Q371" si="1953">AA371+AD371+AG371+AJ371+AM371+AP371+AS371+AV371+AY371+BB371+BE371+BH371</f>
        <v>0</v>
      </c>
      <c r="P371" s="61">
        <f t="shared" si="1953"/>
        <v>0</v>
      </c>
      <c r="Q371" s="61">
        <f t="shared" si="1953"/>
        <v>0</v>
      </c>
      <c r="R371" s="61">
        <f t="shared" ref="R371:T371" si="1954">IF(BK371=0,SUM(AA371+AD371+AG371+AJ371+AM371+AP371+AS371+AV371+AY371+BB371+BE371+BH371),BK371)</f>
        <v>0</v>
      </c>
      <c r="S371" s="61">
        <f t="shared" si="1954"/>
        <v>0</v>
      </c>
      <c r="T371" s="61">
        <f t="shared" si="1954"/>
        <v>0</v>
      </c>
      <c r="U371" s="63">
        <f t="shared" ref="U371:U373" si="1955">K371-O371</f>
        <v>0</v>
      </c>
      <c r="V371" s="63">
        <f t="shared" ref="V371:V373" si="1956">L371-M371-S371</f>
        <v>0</v>
      </c>
      <c r="W371" s="63">
        <f t="shared" ref="W371:W373" si="1957">N371-Q371</f>
        <v>0</v>
      </c>
      <c r="X371" s="64">
        <f t="shared" ref="X371:Y371" si="1958">IF(O371&gt;0,O371/K371,0)</f>
        <v>0</v>
      </c>
      <c r="Y371" s="64">
        <f t="shared" si="1958"/>
        <v>0</v>
      </c>
      <c r="Z371" s="64">
        <f t="shared" si="1658"/>
        <v>0</v>
      </c>
      <c r="AA371" s="65"/>
      <c r="AB371" s="65"/>
      <c r="AC371" s="65"/>
      <c r="AD371" s="65"/>
      <c r="AE371" s="66"/>
      <c r="AF371" s="66"/>
      <c r="AG371" s="66"/>
      <c r="AH371" s="66"/>
      <c r="AI371" s="65"/>
      <c r="AJ371" s="65"/>
      <c r="AK371" s="65"/>
      <c r="AL371" s="65"/>
      <c r="AM371" s="65"/>
      <c r="AN371" s="65"/>
      <c r="AO371" s="65"/>
      <c r="AP371" s="65"/>
      <c r="AQ371" s="65"/>
      <c r="AR371" s="65"/>
      <c r="AS371" s="65"/>
      <c r="AT371" s="65"/>
      <c r="AU371" s="65"/>
      <c r="AV371" s="65"/>
      <c r="AW371" s="65"/>
      <c r="AX371" s="65"/>
      <c r="AY371" s="65"/>
      <c r="AZ371" s="65"/>
      <c r="BA371" s="65"/>
      <c r="BB371" s="65"/>
      <c r="BC371" s="65"/>
      <c r="BD371" s="65"/>
      <c r="BE371" s="65"/>
      <c r="BF371" s="65"/>
      <c r="BG371" s="65"/>
      <c r="BH371" s="65"/>
      <c r="BI371" s="65"/>
      <c r="BJ371" s="65"/>
      <c r="BK371" s="65">
        <v>0</v>
      </c>
      <c r="BL371" s="65">
        <v>0</v>
      </c>
      <c r="BM371" s="65">
        <v>0</v>
      </c>
      <c r="BN371" s="65">
        <f t="shared" ref="BN371:BN373" si="1959">IF(O371-BK371&gt;0,O371-BK371,0)</f>
        <v>0</v>
      </c>
      <c r="BO371" s="67">
        <f t="shared" ref="BO371:BO373" si="1960">IF(Q371-BM371&gt;0,Q371-BM371,0)</f>
        <v>0</v>
      </c>
      <c r="BP371" s="65">
        <f t="shared" ref="BP371:BP373" si="1961">IF(BN371+BO371&gt;0,BN371+BO371,0)</f>
        <v>0</v>
      </c>
      <c r="BQ371" s="65">
        <f t="shared" ref="BQ371:BQ373" si="1962">IF(U371=0,0,U371)</f>
        <v>0</v>
      </c>
      <c r="BR371" s="65">
        <f t="shared" ref="BR371:BR373" si="1963">IF(W371=0,0,W371)</f>
        <v>0</v>
      </c>
      <c r="BS371" s="65">
        <f t="shared" ref="BS371:BS373" si="1964">IF(BQ371+BR371&gt;0,BQ371+BR371,0)</f>
        <v>0</v>
      </c>
      <c r="BT371" s="65">
        <f t="shared" ref="BT371:BT373" si="1965">IF(V371&gt;0,V371,0)</f>
        <v>0</v>
      </c>
      <c r="BU371" s="65">
        <f t="shared" ref="BU371:BU373" si="1966">IF(BP371=0,0,BP371)</f>
        <v>0</v>
      </c>
      <c r="BV371" s="65">
        <f t="shared" ref="BV371:BV373" si="1967">IF(BS371=0,0,BS371)</f>
        <v>0</v>
      </c>
      <c r="BW371" s="65">
        <f t="shared" ref="BW371:BW373" si="1968">IF(BP371+BT371+BV371&gt;0,BP371+BT371+BV371,0)</f>
        <v>0</v>
      </c>
      <c r="BX371" s="6"/>
      <c r="BY371" s="6"/>
      <c r="BZ371" s="6"/>
      <c r="CA371" s="6"/>
      <c r="CB371" s="6"/>
      <c r="CC371" s="6"/>
      <c r="CD371" s="6"/>
      <c r="CE371" s="6"/>
      <c r="CF371" s="6"/>
      <c r="CG371" s="6"/>
    </row>
    <row r="372" spans="1:85" ht="15.75" customHeight="1">
      <c r="A372" s="71"/>
      <c r="B372" s="72"/>
      <c r="C372" s="71" t="s">
        <v>474</v>
      </c>
      <c r="D372" s="73" t="s">
        <v>488</v>
      </c>
      <c r="E372" s="99">
        <v>0</v>
      </c>
      <c r="F372" s="99">
        <v>0</v>
      </c>
      <c r="G372" s="58">
        <f t="shared" si="1952"/>
        <v>0</v>
      </c>
      <c r="H372" s="56">
        <v>100000</v>
      </c>
      <c r="I372" s="59">
        <f t="shared" si="1582"/>
        <v>0</v>
      </c>
      <c r="J372" s="59">
        <f t="shared" si="1583"/>
        <v>0</v>
      </c>
      <c r="K372" s="74">
        <v>0</v>
      </c>
      <c r="L372" s="74">
        <v>0</v>
      </c>
      <c r="M372" s="74">
        <v>0</v>
      </c>
      <c r="N372" s="74">
        <v>0</v>
      </c>
      <c r="O372" s="61">
        <f t="shared" ref="O372:Q372" si="1969">AA372+AD372+AG372+AJ372+AM372+AP372+AS372+AV372+AY372+BB372+BE372+BH372</f>
        <v>0</v>
      </c>
      <c r="P372" s="61">
        <f t="shared" si="1969"/>
        <v>0</v>
      </c>
      <c r="Q372" s="61">
        <f t="shared" si="1969"/>
        <v>0</v>
      </c>
      <c r="R372" s="61">
        <f t="shared" ref="R372:T372" si="1970">IF(BK372=0,SUM(AA372+AD372+AG372+AJ372+AM372+AP372+AS372+AV372+AY372+BB372+BE372+BH372),BK372)</f>
        <v>0</v>
      </c>
      <c r="S372" s="61">
        <f t="shared" si="1970"/>
        <v>0</v>
      </c>
      <c r="T372" s="61">
        <f t="shared" si="1970"/>
        <v>0</v>
      </c>
      <c r="U372" s="63">
        <f t="shared" si="1955"/>
        <v>0</v>
      </c>
      <c r="V372" s="63">
        <f t="shared" si="1956"/>
        <v>0</v>
      </c>
      <c r="W372" s="63">
        <f t="shared" si="1957"/>
        <v>0</v>
      </c>
      <c r="X372" s="64">
        <f t="shared" ref="X372:Y372" si="1971">IF(O372&gt;0,O372/K372,0)</f>
        <v>0</v>
      </c>
      <c r="Y372" s="64">
        <f t="shared" si="1971"/>
        <v>0</v>
      </c>
      <c r="Z372" s="64">
        <f t="shared" si="1658"/>
        <v>0</v>
      </c>
      <c r="AA372" s="65"/>
      <c r="AB372" s="65"/>
      <c r="AC372" s="65"/>
      <c r="AD372" s="65"/>
      <c r="AE372" s="66"/>
      <c r="AF372" s="66"/>
      <c r="AG372" s="66"/>
      <c r="AH372" s="66"/>
      <c r="AI372" s="65"/>
      <c r="AJ372" s="65"/>
      <c r="AK372" s="65"/>
      <c r="AL372" s="65"/>
      <c r="AM372" s="65"/>
      <c r="AN372" s="65"/>
      <c r="AO372" s="65"/>
      <c r="AP372" s="65"/>
      <c r="AQ372" s="65"/>
      <c r="AR372" s="65"/>
      <c r="AS372" s="65"/>
      <c r="AT372" s="65"/>
      <c r="AU372" s="65"/>
      <c r="AV372" s="65"/>
      <c r="AW372" s="65"/>
      <c r="AX372" s="65"/>
      <c r="AY372" s="65"/>
      <c r="AZ372" s="65"/>
      <c r="BA372" s="65"/>
      <c r="BB372" s="65"/>
      <c r="BC372" s="65"/>
      <c r="BD372" s="65"/>
      <c r="BE372" s="65"/>
      <c r="BF372" s="65"/>
      <c r="BG372" s="65"/>
      <c r="BH372" s="65"/>
      <c r="BI372" s="65"/>
      <c r="BJ372" s="65"/>
      <c r="BK372" s="65">
        <v>0</v>
      </c>
      <c r="BL372" s="65">
        <v>0</v>
      </c>
      <c r="BM372" s="65">
        <v>0</v>
      </c>
      <c r="BN372" s="65">
        <f t="shared" si="1959"/>
        <v>0</v>
      </c>
      <c r="BO372" s="67">
        <f t="shared" si="1960"/>
        <v>0</v>
      </c>
      <c r="BP372" s="65">
        <f t="shared" si="1961"/>
        <v>0</v>
      </c>
      <c r="BQ372" s="65">
        <f t="shared" si="1962"/>
        <v>0</v>
      </c>
      <c r="BR372" s="65">
        <f t="shared" si="1963"/>
        <v>0</v>
      </c>
      <c r="BS372" s="65">
        <f t="shared" si="1964"/>
        <v>0</v>
      </c>
      <c r="BT372" s="65">
        <f t="shared" si="1965"/>
        <v>0</v>
      </c>
      <c r="BU372" s="65">
        <f t="shared" si="1966"/>
        <v>0</v>
      </c>
      <c r="BV372" s="65">
        <f t="shared" si="1967"/>
        <v>0</v>
      </c>
      <c r="BW372" s="65">
        <f t="shared" si="1968"/>
        <v>0</v>
      </c>
      <c r="BX372" s="6"/>
      <c r="BY372" s="6"/>
      <c r="BZ372" s="6"/>
      <c r="CA372" s="6"/>
      <c r="CB372" s="6"/>
      <c r="CC372" s="6"/>
      <c r="CD372" s="6"/>
      <c r="CE372" s="6"/>
      <c r="CF372" s="6"/>
      <c r="CG372" s="6"/>
    </row>
    <row r="373" spans="1:85" ht="15.75" customHeight="1">
      <c r="A373" s="333"/>
      <c r="B373" s="334"/>
      <c r="C373" s="71" t="s">
        <v>267</v>
      </c>
      <c r="D373" s="73" t="s">
        <v>489</v>
      </c>
      <c r="E373" s="99">
        <v>0</v>
      </c>
      <c r="F373" s="99">
        <v>0</v>
      </c>
      <c r="G373" s="58">
        <f t="shared" si="1952"/>
        <v>0</v>
      </c>
      <c r="H373" s="56">
        <v>50000</v>
      </c>
      <c r="I373" s="59">
        <f t="shared" si="1582"/>
        <v>0</v>
      </c>
      <c r="J373" s="59">
        <f t="shared" si="1583"/>
        <v>0</v>
      </c>
      <c r="K373" s="74">
        <v>0</v>
      </c>
      <c r="L373" s="74">
        <v>0</v>
      </c>
      <c r="M373" s="74">
        <v>0</v>
      </c>
      <c r="N373" s="74">
        <v>0</v>
      </c>
      <c r="O373" s="61">
        <f t="shared" ref="O373:Q373" si="1972">AA373+AD373+AG373+AJ373+AM373+AP373+AS373+AV373+AY373+BB373+BE373+BH373</f>
        <v>0</v>
      </c>
      <c r="P373" s="61">
        <f t="shared" si="1972"/>
        <v>0</v>
      </c>
      <c r="Q373" s="61">
        <f t="shared" si="1972"/>
        <v>0</v>
      </c>
      <c r="R373" s="61">
        <f t="shared" ref="R373:T373" si="1973">IF(BK373=0,SUM(AA373+AD373+AG373+AJ373+AM373+AP373+AS373+AV373+AY373+BB373+BE373+BH373),BK373)</f>
        <v>0</v>
      </c>
      <c r="S373" s="61">
        <f t="shared" si="1973"/>
        <v>0</v>
      </c>
      <c r="T373" s="61">
        <f t="shared" si="1973"/>
        <v>0</v>
      </c>
      <c r="U373" s="63">
        <f t="shared" si="1955"/>
        <v>0</v>
      </c>
      <c r="V373" s="63">
        <f t="shared" si="1956"/>
        <v>0</v>
      </c>
      <c r="W373" s="63">
        <f t="shared" si="1957"/>
        <v>0</v>
      </c>
      <c r="X373" s="64">
        <f t="shared" ref="X373:Y373" si="1974">IF(O373&gt;0,O373/K373,0)</f>
        <v>0</v>
      </c>
      <c r="Y373" s="64">
        <f t="shared" si="1974"/>
        <v>0</v>
      </c>
      <c r="Z373" s="64">
        <f t="shared" si="1658"/>
        <v>0</v>
      </c>
      <c r="AA373" s="65"/>
      <c r="AB373" s="65"/>
      <c r="AC373" s="65"/>
      <c r="AD373" s="65"/>
      <c r="AE373" s="66"/>
      <c r="AF373" s="66"/>
      <c r="AG373" s="66"/>
      <c r="AH373" s="66"/>
      <c r="AI373" s="65"/>
      <c r="AJ373" s="65"/>
      <c r="AK373" s="65"/>
      <c r="AL373" s="65"/>
      <c r="AM373" s="65"/>
      <c r="AN373" s="65"/>
      <c r="AO373" s="65"/>
      <c r="AP373" s="65"/>
      <c r="AQ373" s="65"/>
      <c r="AR373" s="65"/>
      <c r="AS373" s="65"/>
      <c r="AT373" s="65"/>
      <c r="AU373" s="65"/>
      <c r="AV373" s="65"/>
      <c r="AW373" s="65"/>
      <c r="AX373" s="65"/>
      <c r="AY373" s="65"/>
      <c r="AZ373" s="65"/>
      <c r="BA373" s="65"/>
      <c r="BB373" s="65"/>
      <c r="BC373" s="65"/>
      <c r="BD373" s="65"/>
      <c r="BE373" s="65"/>
      <c r="BF373" s="65"/>
      <c r="BG373" s="65"/>
      <c r="BH373" s="65"/>
      <c r="BI373" s="65"/>
      <c r="BJ373" s="65"/>
      <c r="BK373" s="65">
        <v>0</v>
      </c>
      <c r="BL373" s="65">
        <v>0</v>
      </c>
      <c r="BM373" s="65">
        <v>0</v>
      </c>
      <c r="BN373" s="65">
        <f t="shared" si="1959"/>
        <v>0</v>
      </c>
      <c r="BO373" s="67">
        <f t="shared" si="1960"/>
        <v>0</v>
      </c>
      <c r="BP373" s="65">
        <f t="shared" si="1961"/>
        <v>0</v>
      </c>
      <c r="BQ373" s="65">
        <f t="shared" si="1962"/>
        <v>0</v>
      </c>
      <c r="BR373" s="65">
        <f t="shared" si="1963"/>
        <v>0</v>
      </c>
      <c r="BS373" s="65">
        <f t="shared" si="1964"/>
        <v>0</v>
      </c>
      <c r="BT373" s="65">
        <f t="shared" si="1965"/>
        <v>0</v>
      </c>
      <c r="BU373" s="65">
        <f t="shared" si="1966"/>
        <v>0</v>
      </c>
      <c r="BV373" s="65">
        <f t="shared" si="1967"/>
        <v>0</v>
      </c>
      <c r="BW373" s="65">
        <f t="shared" si="1968"/>
        <v>0</v>
      </c>
      <c r="BX373" s="6"/>
      <c r="BY373" s="6"/>
      <c r="BZ373" s="6"/>
      <c r="CA373" s="6"/>
      <c r="CB373" s="6"/>
      <c r="CC373" s="6"/>
      <c r="CD373" s="6"/>
      <c r="CE373" s="6"/>
      <c r="CF373" s="6"/>
      <c r="CG373" s="6"/>
    </row>
    <row r="374" spans="1:85" ht="15.75">
      <c r="A374" s="75"/>
      <c r="B374" s="76"/>
      <c r="C374" s="77"/>
      <c r="D374" s="78" t="s">
        <v>467</v>
      </c>
      <c r="E374" s="45">
        <f t="shared" ref="E374:H374" si="1975">SUM(E375:E377)</f>
        <v>0</v>
      </c>
      <c r="F374" s="45">
        <f t="shared" si="1975"/>
        <v>0</v>
      </c>
      <c r="G374" s="45">
        <f t="shared" si="1975"/>
        <v>0</v>
      </c>
      <c r="H374" s="45">
        <f t="shared" si="1975"/>
        <v>0</v>
      </c>
      <c r="I374" s="47">
        <f t="shared" si="1582"/>
        <v>0</v>
      </c>
      <c r="J374" s="47">
        <f t="shared" si="1583"/>
        <v>0</v>
      </c>
      <c r="K374" s="45">
        <f t="shared" ref="K374:W374" si="1976">SUM(K375:K377)</f>
        <v>0</v>
      </c>
      <c r="L374" s="45">
        <f t="shared" si="1976"/>
        <v>0</v>
      </c>
      <c r="M374" s="45">
        <f t="shared" si="1976"/>
        <v>0</v>
      </c>
      <c r="N374" s="45">
        <f t="shared" si="1976"/>
        <v>0</v>
      </c>
      <c r="O374" s="45">
        <f t="shared" si="1976"/>
        <v>0</v>
      </c>
      <c r="P374" s="45">
        <f t="shared" si="1976"/>
        <v>0</v>
      </c>
      <c r="Q374" s="45">
        <f t="shared" si="1976"/>
        <v>0</v>
      </c>
      <c r="R374" s="45">
        <f t="shared" si="1976"/>
        <v>0</v>
      </c>
      <c r="S374" s="45">
        <f t="shared" si="1976"/>
        <v>0</v>
      </c>
      <c r="T374" s="45">
        <f t="shared" si="1976"/>
        <v>0</v>
      </c>
      <c r="U374" s="45">
        <f t="shared" si="1976"/>
        <v>0</v>
      </c>
      <c r="V374" s="45">
        <f t="shared" si="1976"/>
        <v>0</v>
      </c>
      <c r="W374" s="45">
        <f t="shared" si="1976"/>
        <v>0</v>
      </c>
      <c r="X374" s="50">
        <f t="shared" ref="X374:Y374" si="1977">IF(O374&gt;0,O374/K374,0)</f>
        <v>0</v>
      </c>
      <c r="Y374" s="50">
        <f t="shared" si="1977"/>
        <v>0</v>
      </c>
      <c r="Z374" s="50">
        <f t="shared" si="1658"/>
        <v>0</v>
      </c>
      <c r="AA374" s="45">
        <f t="shared" ref="AA374:BW374" si="1978">SUM(AA375:AA377)</f>
        <v>0</v>
      </c>
      <c r="AB374" s="45">
        <f t="shared" si="1978"/>
        <v>0</v>
      </c>
      <c r="AC374" s="45">
        <f t="shared" si="1978"/>
        <v>0</v>
      </c>
      <c r="AD374" s="45">
        <f t="shared" si="1978"/>
        <v>0</v>
      </c>
      <c r="AE374" s="45">
        <f t="shared" si="1978"/>
        <v>0</v>
      </c>
      <c r="AF374" s="45">
        <f t="shared" si="1978"/>
        <v>0</v>
      </c>
      <c r="AG374" s="45">
        <f t="shared" si="1978"/>
        <v>0</v>
      </c>
      <c r="AH374" s="45">
        <f t="shared" si="1978"/>
        <v>0</v>
      </c>
      <c r="AI374" s="45">
        <f t="shared" si="1978"/>
        <v>0</v>
      </c>
      <c r="AJ374" s="45">
        <f t="shared" si="1978"/>
        <v>0</v>
      </c>
      <c r="AK374" s="45">
        <f t="shared" si="1978"/>
        <v>0</v>
      </c>
      <c r="AL374" s="45">
        <f t="shared" si="1978"/>
        <v>0</v>
      </c>
      <c r="AM374" s="45">
        <f t="shared" si="1978"/>
        <v>0</v>
      </c>
      <c r="AN374" s="45">
        <f t="shared" si="1978"/>
        <v>0</v>
      </c>
      <c r="AO374" s="45">
        <f t="shared" si="1978"/>
        <v>0</v>
      </c>
      <c r="AP374" s="45">
        <f t="shared" si="1978"/>
        <v>0</v>
      </c>
      <c r="AQ374" s="45">
        <f t="shared" si="1978"/>
        <v>0</v>
      </c>
      <c r="AR374" s="45">
        <f t="shared" si="1978"/>
        <v>0</v>
      </c>
      <c r="AS374" s="45">
        <f t="shared" si="1978"/>
        <v>0</v>
      </c>
      <c r="AT374" s="45">
        <f t="shared" si="1978"/>
        <v>0</v>
      </c>
      <c r="AU374" s="45">
        <f t="shared" si="1978"/>
        <v>0</v>
      </c>
      <c r="AV374" s="45">
        <f t="shared" si="1978"/>
        <v>0</v>
      </c>
      <c r="AW374" s="45">
        <f t="shared" si="1978"/>
        <v>0</v>
      </c>
      <c r="AX374" s="45">
        <f t="shared" si="1978"/>
        <v>0</v>
      </c>
      <c r="AY374" s="45">
        <f t="shared" si="1978"/>
        <v>0</v>
      </c>
      <c r="AZ374" s="45">
        <f t="shared" si="1978"/>
        <v>0</v>
      </c>
      <c r="BA374" s="45">
        <f t="shared" si="1978"/>
        <v>0</v>
      </c>
      <c r="BB374" s="45">
        <f t="shared" si="1978"/>
        <v>0</v>
      </c>
      <c r="BC374" s="45">
        <f t="shared" si="1978"/>
        <v>0</v>
      </c>
      <c r="BD374" s="45">
        <f t="shared" si="1978"/>
        <v>0</v>
      </c>
      <c r="BE374" s="45">
        <f t="shared" si="1978"/>
        <v>0</v>
      </c>
      <c r="BF374" s="45">
        <f t="shared" si="1978"/>
        <v>0</v>
      </c>
      <c r="BG374" s="45">
        <f t="shared" si="1978"/>
        <v>0</v>
      </c>
      <c r="BH374" s="45">
        <f t="shared" si="1978"/>
        <v>0</v>
      </c>
      <c r="BI374" s="45">
        <f t="shared" si="1978"/>
        <v>0</v>
      </c>
      <c r="BJ374" s="45">
        <f t="shared" si="1978"/>
        <v>0</v>
      </c>
      <c r="BK374" s="45">
        <f t="shared" si="1978"/>
        <v>0</v>
      </c>
      <c r="BL374" s="45">
        <f t="shared" si="1978"/>
        <v>0</v>
      </c>
      <c r="BM374" s="45">
        <f t="shared" si="1978"/>
        <v>0</v>
      </c>
      <c r="BN374" s="45">
        <f t="shared" si="1978"/>
        <v>0</v>
      </c>
      <c r="BO374" s="45">
        <f t="shared" si="1978"/>
        <v>0</v>
      </c>
      <c r="BP374" s="45">
        <f t="shared" si="1978"/>
        <v>0</v>
      </c>
      <c r="BQ374" s="45">
        <f t="shared" si="1978"/>
        <v>0</v>
      </c>
      <c r="BR374" s="45">
        <f t="shared" si="1978"/>
        <v>0</v>
      </c>
      <c r="BS374" s="45">
        <f t="shared" si="1978"/>
        <v>0</v>
      </c>
      <c r="BT374" s="45">
        <f t="shared" si="1978"/>
        <v>0</v>
      </c>
      <c r="BU374" s="45">
        <f t="shared" si="1978"/>
        <v>0</v>
      </c>
      <c r="BV374" s="45">
        <f t="shared" si="1978"/>
        <v>0</v>
      </c>
      <c r="BW374" s="45">
        <f t="shared" si="1978"/>
        <v>0</v>
      </c>
      <c r="BX374" s="51"/>
      <c r="BY374" s="51"/>
      <c r="BZ374" s="51"/>
      <c r="CA374" s="51"/>
      <c r="CB374" s="51"/>
      <c r="CC374" s="51"/>
      <c r="CD374" s="51"/>
      <c r="CE374" s="51"/>
      <c r="CF374" s="51"/>
      <c r="CG374" s="51"/>
    </row>
    <row r="375" spans="1:85" ht="15.75" customHeight="1">
      <c r="A375" s="68"/>
      <c r="B375" s="69"/>
      <c r="C375" s="68" t="s">
        <v>430</v>
      </c>
      <c r="D375" s="335" t="s">
        <v>490</v>
      </c>
      <c r="E375" s="99">
        <v>0</v>
      </c>
      <c r="F375" s="99">
        <v>0</v>
      </c>
      <c r="G375" s="58">
        <f t="shared" ref="G375:G377" si="1979">E375-F375</f>
        <v>0</v>
      </c>
      <c r="H375" s="99">
        <v>0</v>
      </c>
      <c r="I375" s="59">
        <f t="shared" si="1582"/>
        <v>0</v>
      </c>
      <c r="J375" s="59">
        <f t="shared" si="1583"/>
        <v>0</v>
      </c>
      <c r="K375" s="74">
        <v>0</v>
      </c>
      <c r="L375" s="74">
        <v>0</v>
      </c>
      <c r="M375" s="74">
        <v>0</v>
      </c>
      <c r="N375" s="74">
        <v>0</v>
      </c>
      <c r="O375" s="61">
        <f t="shared" ref="O375:Q375" si="1980">AA375+AD375+AG375+AJ375+AM375+AP375+AS375+AV375+AY375+BB375+BE375+BH375</f>
        <v>0</v>
      </c>
      <c r="P375" s="61">
        <f t="shared" si="1980"/>
        <v>0</v>
      </c>
      <c r="Q375" s="61">
        <f t="shared" si="1980"/>
        <v>0</v>
      </c>
      <c r="R375" s="61">
        <f t="shared" ref="R375:T375" si="1981">IF(BK375=0,SUM(AA375+AD375+AG375+AJ375+AM375+AP375+AS375+AV375+AY375+BB375+BE375+BH375),BK375)</f>
        <v>0</v>
      </c>
      <c r="S375" s="61">
        <f t="shared" si="1981"/>
        <v>0</v>
      </c>
      <c r="T375" s="61">
        <f t="shared" si="1981"/>
        <v>0</v>
      </c>
      <c r="U375" s="63">
        <f t="shared" ref="U375:U377" si="1982">K375-O375</f>
        <v>0</v>
      </c>
      <c r="V375" s="63">
        <f t="shared" ref="V375:V377" si="1983">L375-M375-S375</f>
        <v>0</v>
      </c>
      <c r="W375" s="208">
        <f t="shared" ref="W375:W377" si="1984">N375-Q375</f>
        <v>0</v>
      </c>
      <c r="X375" s="64">
        <f t="shared" ref="X375:Y375" si="1985">IF(O375&gt;0,O375/K375,0)</f>
        <v>0</v>
      </c>
      <c r="Y375" s="64">
        <f t="shared" si="1985"/>
        <v>0</v>
      </c>
      <c r="Z375" s="64">
        <f t="shared" si="1658"/>
        <v>0</v>
      </c>
      <c r="AA375" s="65"/>
      <c r="AB375" s="65"/>
      <c r="AC375" s="65"/>
      <c r="AD375" s="65"/>
      <c r="AE375" s="66"/>
      <c r="AF375" s="66"/>
      <c r="AG375" s="66"/>
      <c r="AH375" s="66"/>
      <c r="AI375" s="65"/>
      <c r="AJ375" s="65"/>
      <c r="AK375" s="65"/>
      <c r="AL375" s="65"/>
      <c r="AM375" s="65"/>
      <c r="AN375" s="65"/>
      <c r="AO375" s="65"/>
      <c r="AP375" s="65"/>
      <c r="AQ375" s="65"/>
      <c r="AR375" s="65"/>
      <c r="AS375" s="65"/>
      <c r="AT375" s="65"/>
      <c r="AU375" s="65"/>
      <c r="AV375" s="65"/>
      <c r="AW375" s="65"/>
      <c r="AX375" s="65"/>
      <c r="AY375" s="65"/>
      <c r="AZ375" s="65"/>
      <c r="BA375" s="65"/>
      <c r="BB375" s="65"/>
      <c r="BC375" s="65"/>
      <c r="BD375" s="65"/>
      <c r="BE375" s="65"/>
      <c r="BF375" s="65"/>
      <c r="BG375" s="65"/>
      <c r="BH375" s="65"/>
      <c r="BI375" s="65"/>
      <c r="BJ375" s="65"/>
      <c r="BK375" s="65">
        <v>0</v>
      </c>
      <c r="BL375" s="65">
        <v>0</v>
      </c>
      <c r="BM375" s="65">
        <v>0</v>
      </c>
      <c r="BN375" s="65">
        <f t="shared" ref="BN375:BN377" si="1986">IF(O375-BK375&gt;0,O375-BK375,0)</f>
        <v>0</v>
      </c>
      <c r="BO375" s="67">
        <f t="shared" ref="BO375:BO377" si="1987">IF(Q375-BM375&gt;0,Q375-BM375,0)</f>
        <v>0</v>
      </c>
      <c r="BP375" s="65">
        <f t="shared" ref="BP375:BP377" si="1988">IF(BN375+BO375&gt;0,BN375+BO375,0)</f>
        <v>0</v>
      </c>
      <c r="BQ375" s="65">
        <f t="shared" ref="BQ375:BQ377" si="1989">IF(U375=0,0,U375)</f>
        <v>0</v>
      </c>
      <c r="BR375" s="65">
        <f t="shared" ref="BR375:BR377" si="1990">IF(W375=0,0,W375)</f>
        <v>0</v>
      </c>
      <c r="BS375" s="65">
        <f t="shared" ref="BS375:BS377" si="1991">IF(BQ375+BR375&gt;0,BQ375+BR375,0)</f>
        <v>0</v>
      </c>
      <c r="BT375" s="65">
        <f t="shared" ref="BT375:BT377" si="1992">IF(V375&gt;0,V375,0)</f>
        <v>0</v>
      </c>
      <c r="BU375" s="65">
        <f t="shared" ref="BU375:BU377" si="1993">IF(BP375=0,0,BP375)</f>
        <v>0</v>
      </c>
      <c r="BV375" s="65">
        <f t="shared" ref="BV375:BV377" si="1994">IF(BS375=0,0,BS375)</f>
        <v>0</v>
      </c>
      <c r="BW375" s="65">
        <f t="shared" ref="BW375:BW377" si="1995">IF(BP375+BT375+BV375&gt;0,BP375+BT375+BV375,0)</f>
        <v>0</v>
      </c>
      <c r="BX375" s="6"/>
      <c r="BY375" s="6"/>
      <c r="BZ375" s="6"/>
      <c r="CA375" s="6"/>
      <c r="CB375" s="6"/>
      <c r="CC375" s="6"/>
      <c r="CD375" s="6"/>
      <c r="CE375" s="6"/>
      <c r="CF375" s="6"/>
      <c r="CG375" s="6"/>
    </row>
    <row r="376" spans="1:85" ht="15.75" customHeight="1">
      <c r="A376" s="68"/>
      <c r="B376" s="103"/>
      <c r="C376" s="68" t="s">
        <v>335</v>
      </c>
      <c r="D376" s="70" t="s">
        <v>336</v>
      </c>
      <c r="E376" s="99">
        <v>0</v>
      </c>
      <c r="F376" s="99">
        <v>0</v>
      </c>
      <c r="G376" s="58">
        <f t="shared" si="1979"/>
        <v>0</v>
      </c>
      <c r="H376" s="99">
        <v>0</v>
      </c>
      <c r="I376" s="59">
        <f t="shared" si="1582"/>
        <v>0</v>
      </c>
      <c r="J376" s="59">
        <f t="shared" si="1583"/>
        <v>0</v>
      </c>
      <c r="K376" s="74">
        <v>0</v>
      </c>
      <c r="L376" s="74">
        <v>0</v>
      </c>
      <c r="M376" s="74">
        <v>0</v>
      </c>
      <c r="N376" s="74">
        <v>0</v>
      </c>
      <c r="O376" s="61">
        <f t="shared" ref="O376:Q376" si="1996">AA376+AD376+AG376+AJ376+AM376+AP376+AS376+AV376+AY376+BB376+BE376+BH376</f>
        <v>0</v>
      </c>
      <c r="P376" s="61">
        <f t="shared" si="1996"/>
        <v>0</v>
      </c>
      <c r="Q376" s="61">
        <f t="shared" si="1996"/>
        <v>0</v>
      </c>
      <c r="R376" s="61">
        <f t="shared" ref="R376:T376" si="1997">IF(BK376=0,SUM(AA376+AD376+AG376+AJ376+AM376+AP376+AS376+AV376+AY376+BB376+BE376+BH376),BK376)</f>
        <v>0</v>
      </c>
      <c r="S376" s="61">
        <f t="shared" si="1997"/>
        <v>0</v>
      </c>
      <c r="T376" s="61">
        <f t="shared" si="1997"/>
        <v>0</v>
      </c>
      <c r="U376" s="63">
        <f t="shared" si="1982"/>
        <v>0</v>
      </c>
      <c r="V376" s="63">
        <f t="shared" si="1983"/>
        <v>0</v>
      </c>
      <c r="W376" s="63">
        <f t="shared" si="1984"/>
        <v>0</v>
      </c>
      <c r="X376" s="64">
        <f t="shared" ref="X376:Y376" si="1998">IF(O376&gt;0,O376/K376,0)</f>
        <v>0</v>
      </c>
      <c r="Y376" s="64">
        <f t="shared" si="1998"/>
        <v>0</v>
      </c>
      <c r="Z376" s="64">
        <f t="shared" si="1658"/>
        <v>0</v>
      </c>
      <c r="AA376" s="65"/>
      <c r="AB376" s="65"/>
      <c r="AC376" s="65"/>
      <c r="AD376" s="65"/>
      <c r="AE376" s="66"/>
      <c r="AF376" s="66"/>
      <c r="AG376" s="66"/>
      <c r="AH376" s="66"/>
      <c r="AI376" s="65"/>
      <c r="AJ376" s="65"/>
      <c r="AK376" s="65"/>
      <c r="AL376" s="65"/>
      <c r="AM376" s="65"/>
      <c r="AN376" s="65"/>
      <c r="AO376" s="65"/>
      <c r="AP376" s="65"/>
      <c r="AQ376" s="65"/>
      <c r="AR376" s="65"/>
      <c r="AS376" s="65"/>
      <c r="AT376" s="65"/>
      <c r="AU376" s="65"/>
      <c r="AV376" s="65"/>
      <c r="AW376" s="65"/>
      <c r="AX376" s="65"/>
      <c r="AY376" s="65"/>
      <c r="AZ376" s="65"/>
      <c r="BA376" s="65"/>
      <c r="BB376" s="65"/>
      <c r="BC376" s="65"/>
      <c r="BD376" s="65"/>
      <c r="BE376" s="65"/>
      <c r="BF376" s="65"/>
      <c r="BG376" s="65"/>
      <c r="BH376" s="65"/>
      <c r="BI376" s="65"/>
      <c r="BJ376" s="65"/>
      <c r="BK376" s="65">
        <v>0</v>
      </c>
      <c r="BL376" s="65">
        <v>0</v>
      </c>
      <c r="BM376" s="65">
        <v>0</v>
      </c>
      <c r="BN376" s="65">
        <f t="shared" si="1986"/>
        <v>0</v>
      </c>
      <c r="BO376" s="67">
        <f t="shared" si="1987"/>
        <v>0</v>
      </c>
      <c r="BP376" s="65">
        <f t="shared" si="1988"/>
        <v>0</v>
      </c>
      <c r="BQ376" s="65">
        <f t="shared" si="1989"/>
        <v>0</v>
      </c>
      <c r="BR376" s="65">
        <f t="shared" si="1990"/>
        <v>0</v>
      </c>
      <c r="BS376" s="65">
        <f t="shared" si="1991"/>
        <v>0</v>
      </c>
      <c r="BT376" s="65">
        <f t="shared" si="1992"/>
        <v>0</v>
      </c>
      <c r="BU376" s="65">
        <f t="shared" si="1993"/>
        <v>0</v>
      </c>
      <c r="BV376" s="65">
        <f t="shared" si="1994"/>
        <v>0</v>
      </c>
      <c r="BW376" s="65">
        <f t="shared" si="1995"/>
        <v>0</v>
      </c>
      <c r="BX376" s="6"/>
      <c r="BY376" s="6"/>
      <c r="BZ376" s="6"/>
      <c r="CA376" s="6"/>
      <c r="CB376" s="6"/>
      <c r="CC376" s="6"/>
      <c r="CD376" s="6"/>
      <c r="CE376" s="6"/>
      <c r="CF376" s="6"/>
      <c r="CG376" s="6"/>
    </row>
    <row r="377" spans="1:85" ht="15.75" customHeight="1">
      <c r="A377" s="68"/>
      <c r="B377" s="103"/>
      <c r="C377" s="68" t="s">
        <v>335</v>
      </c>
      <c r="D377" s="70" t="s">
        <v>336</v>
      </c>
      <c r="E377" s="99">
        <v>0</v>
      </c>
      <c r="F377" s="99">
        <v>0</v>
      </c>
      <c r="G377" s="58">
        <f t="shared" si="1979"/>
        <v>0</v>
      </c>
      <c r="H377" s="99">
        <v>0</v>
      </c>
      <c r="I377" s="59">
        <f t="shared" si="1582"/>
        <v>0</v>
      </c>
      <c r="J377" s="59">
        <f t="shared" si="1583"/>
        <v>0</v>
      </c>
      <c r="K377" s="74">
        <v>0</v>
      </c>
      <c r="L377" s="74">
        <v>0</v>
      </c>
      <c r="M377" s="74">
        <v>0</v>
      </c>
      <c r="N377" s="74">
        <v>0</v>
      </c>
      <c r="O377" s="61">
        <f t="shared" ref="O377:Q377" si="1999">AA377+AD377+AG377+AJ377+AM377+AP377+AS377+AV377+AY377+BB377+BE377+BH377</f>
        <v>0</v>
      </c>
      <c r="P377" s="61">
        <f t="shared" si="1999"/>
        <v>0</v>
      </c>
      <c r="Q377" s="61">
        <f t="shared" si="1999"/>
        <v>0</v>
      </c>
      <c r="R377" s="61">
        <f t="shared" ref="R377:T377" si="2000">IF(BK377=0,SUM(AA377+AD377+AG377+AJ377+AM377+AP377+AS377+AV377+AY377+BB377+BE377+BH377),BK377)</f>
        <v>0</v>
      </c>
      <c r="S377" s="61">
        <f t="shared" si="2000"/>
        <v>0</v>
      </c>
      <c r="T377" s="61">
        <f t="shared" si="2000"/>
        <v>0</v>
      </c>
      <c r="U377" s="63">
        <f t="shared" si="1982"/>
        <v>0</v>
      </c>
      <c r="V377" s="63">
        <f t="shared" si="1983"/>
        <v>0</v>
      </c>
      <c r="W377" s="63">
        <f t="shared" si="1984"/>
        <v>0</v>
      </c>
      <c r="X377" s="64">
        <f t="shared" ref="X377:Y377" si="2001">IF(O377&gt;0,O377/K377,0)</f>
        <v>0</v>
      </c>
      <c r="Y377" s="64">
        <f t="shared" si="2001"/>
        <v>0</v>
      </c>
      <c r="Z377" s="64">
        <f t="shared" si="1658"/>
        <v>0</v>
      </c>
      <c r="AA377" s="65"/>
      <c r="AB377" s="65"/>
      <c r="AC377" s="65"/>
      <c r="AD377" s="65"/>
      <c r="AE377" s="66"/>
      <c r="AF377" s="66"/>
      <c r="AG377" s="66"/>
      <c r="AH377" s="66"/>
      <c r="AI377" s="65"/>
      <c r="AJ377" s="65"/>
      <c r="AK377" s="65"/>
      <c r="AL377" s="65"/>
      <c r="AM377" s="65"/>
      <c r="AN377" s="65"/>
      <c r="AO377" s="65"/>
      <c r="AP377" s="65"/>
      <c r="AQ377" s="65"/>
      <c r="AR377" s="65"/>
      <c r="AS377" s="65"/>
      <c r="AT377" s="65"/>
      <c r="AU377" s="65"/>
      <c r="AV377" s="65"/>
      <c r="AW377" s="65"/>
      <c r="AX377" s="65"/>
      <c r="AY377" s="65"/>
      <c r="AZ377" s="65"/>
      <c r="BA377" s="65"/>
      <c r="BB377" s="65"/>
      <c r="BC377" s="65"/>
      <c r="BD377" s="65"/>
      <c r="BE377" s="65"/>
      <c r="BF377" s="65"/>
      <c r="BG377" s="65"/>
      <c r="BH377" s="65"/>
      <c r="BI377" s="65"/>
      <c r="BJ377" s="65"/>
      <c r="BK377" s="65">
        <v>0</v>
      </c>
      <c r="BL377" s="65">
        <v>0</v>
      </c>
      <c r="BM377" s="65">
        <v>0</v>
      </c>
      <c r="BN377" s="65">
        <f t="shared" si="1986"/>
        <v>0</v>
      </c>
      <c r="BO377" s="67">
        <f t="shared" si="1987"/>
        <v>0</v>
      </c>
      <c r="BP377" s="65">
        <f t="shared" si="1988"/>
        <v>0</v>
      </c>
      <c r="BQ377" s="65">
        <f t="shared" si="1989"/>
        <v>0</v>
      </c>
      <c r="BR377" s="65">
        <f t="shared" si="1990"/>
        <v>0</v>
      </c>
      <c r="BS377" s="65">
        <f t="shared" si="1991"/>
        <v>0</v>
      </c>
      <c r="BT377" s="65">
        <f t="shared" si="1992"/>
        <v>0</v>
      </c>
      <c r="BU377" s="65">
        <f t="shared" si="1993"/>
        <v>0</v>
      </c>
      <c r="BV377" s="65">
        <f t="shared" si="1994"/>
        <v>0</v>
      </c>
      <c r="BW377" s="65">
        <f t="shared" si="1995"/>
        <v>0</v>
      </c>
      <c r="BX377" s="6"/>
      <c r="BY377" s="6"/>
      <c r="BZ377" s="6"/>
      <c r="CA377" s="6"/>
      <c r="CB377" s="6"/>
      <c r="CC377" s="6"/>
      <c r="CD377" s="6"/>
      <c r="CE377" s="6"/>
      <c r="CF377" s="6"/>
      <c r="CG377" s="6"/>
    </row>
    <row r="378" spans="1:85" ht="15.75">
      <c r="A378" s="75"/>
      <c r="B378" s="76"/>
      <c r="C378" s="77"/>
      <c r="D378" s="78" t="s">
        <v>294</v>
      </c>
      <c r="E378" s="45">
        <f t="shared" ref="E378:H378" si="2002">SUM(E379+E381)</f>
        <v>0</v>
      </c>
      <c r="F378" s="45">
        <f t="shared" si="2002"/>
        <v>0</v>
      </c>
      <c r="G378" s="45">
        <f t="shared" si="2002"/>
        <v>0</v>
      </c>
      <c r="H378" s="45">
        <f t="shared" si="2002"/>
        <v>0</v>
      </c>
      <c r="I378" s="47">
        <f t="shared" si="1582"/>
        <v>0</v>
      </c>
      <c r="J378" s="47">
        <f t="shared" si="1583"/>
        <v>0</v>
      </c>
      <c r="K378" s="45">
        <f t="shared" ref="K378:W378" si="2003">SUM(K379+K381)</f>
        <v>0</v>
      </c>
      <c r="L378" s="45">
        <f t="shared" si="2003"/>
        <v>14343</v>
      </c>
      <c r="M378" s="45">
        <f t="shared" si="2003"/>
        <v>0</v>
      </c>
      <c r="N378" s="45">
        <f t="shared" si="2003"/>
        <v>0</v>
      </c>
      <c r="O378" s="45">
        <f t="shared" si="2003"/>
        <v>0</v>
      </c>
      <c r="P378" s="45">
        <f t="shared" si="2003"/>
        <v>11401.94</v>
      </c>
      <c r="Q378" s="45">
        <f t="shared" si="2003"/>
        <v>0</v>
      </c>
      <c r="R378" s="45">
        <f t="shared" si="2003"/>
        <v>0</v>
      </c>
      <c r="S378" s="45">
        <f t="shared" si="2003"/>
        <v>11401.94</v>
      </c>
      <c r="T378" s="45">
        <f t="shared" si="2003"/>
        <v>0</v>
      </c>
      <c r="U378" s="45">
        <f t="shared" si="2003"/>
        <v>0</v>
      </c>
      <c r="V378" s="45">
        <f t="shared" si="2003"/>
        <v>2941.0599999999995</v>
      </c>
      <c r="W378" s="45">
        <f t="shared" si="2003"/>
        <v>0</v>
      </c>
      <c r="X378" s="50">
        <f t="shared" ref="X378:Y378" si="2004">IF(O378&gt;0,O378/K378,0)</f>
        <v>0</v>
      </c>
      <c r="Y378" s="50">
        <f t="shared" si="2004"/>
        <v>0.79494805828627213</v>
      </c>
      <c r="Z378" s="50">
        <f t="shared" si="1658"/>
        <v>0</v>
      </c>
      <c r="AA378" s="45">
        <f t="shared" ref="AA378:BW378" si="2005">SUM(AA379+AA381)</f>
        <v>0</v>
      </c>
      <c r="AB378" s="45">
        <f t="shared" si="2005"/>
        <v>0</v>
      </c>
      <c r="AC378" s="45">
        <f t="shared" si="2005"/>
        <v>0</v>
      </c>
      <c r="AD378" s="45">
        <f t="shared" si="2005"/>
        <v>0</v>
      </c>
      <c r="AE378" s="45">
        <f t="shared" si="2005"/>
        <v>0</v>
      </c>
      <c r="AF378" s="45">
        <f t="shared" si="2005"/>
        <v>0</v>
      </c>
      <c r="AG378" s="45">
        <f t="shared" si="2005"/>
        <v>0</v>
      </c>
      <c r="AH378" s="45">
        <f t="shared" si="2005"/>
        <v>8488.1200000000008</v>
      </c>
      <c r="AI378" s="45">
        <f t="shared" si="2005"/>
        <v>0</v>
      </c>
      <c r="AJ378" s="45">
        <f t="shared" si="2005"/>
        <v>0</v>
      </c>
      <c r="AK378" s="45">
        <f t="shared" si="2005"/>
        <v>2868.74</v>
      </c>
      <c r="AL378" s="45">
        <f t="shared" si="2005"/>
        <v>0</v>
      </c>
      <c r="AM378" s="45">
        <f t="shared" si="2005"/>
        <v>0</v>
      </c>
      <c r="AN378" s="45">
        <f t="shared" si="2005"/>
        <v>45.08</v>
      </c>
      <c r="AO378" s="45">
        <f t="shared" si="2005"/>
        <v>0</v>
      </c>
      <c r="AP378" s="45">
        <f t="shared" si="2005"/>
        <v>0</v>
      </c>
      <c r="AQ378" s="45">
        <f t="shared" si="2005"/>
        <v>0</v>
      </c>
      <c r="AR378" s="45">
        <f t="shared" si="2005"/>
        <v>0</v>
      </c>
      <c r="AS378" s="45">
        <f t="shared" si="2005"/>
        <v>0</v>
      </c>
      <c r="AT378" s="45">
        <f t="shared" si="2005"/>
        <v>0</v>
      </c>
      <c r="AU378" s="45">
        <f t="shared" si="2005"/>
        <v>0</v>
      </c>
      <c r="AV378" s="45">
        <f t="shared" si="2005"/>
        <v>0</v>
      </c>
      <c r="AW378" s="45">
        <f t="shared" si="2005"/>
        <v>0</v>
      </c>
      <c r="AX378" s="45">
        <f t="shared" si="2005"/>
        <v>0</v>
      </c>
      <c r="AY378" s="45">
        <f t="shared" si="2005"/>
        <v>0</v>
      </c>
      <c r="AZ378" s="45">
        <f t="shared" si="2005"/>
        <v>0</v>
      </c>
      <c r="BA378" s="45">
        <f t="shared" si="2005"/>
        <v>0</v>
      </c>
      <c r="BB378" s="45">
        <f t="shared" si="2005"/>
        <v>0</v>
      </c>
      <c r="BC378" s="45">
        <f t="shared" si="2005"/>
        <v>0</v>
      </c>
      <c r="BD378" s="45">
        <f t="shared" si="2005"/>
        <v>0</v>
      </c>
      <c r="BE378" s="45">
        <f t="shared" si="2005"/>
        <v>0</v>
      </c>
      <c r="BF378" s="45">
        <f t="shared" si="2005"/>
        <v>0</v>
      </c>
      <c r="BG378" s="45">
        <f t="shared" si="2005"/>
        <v>0</v>
      </c>
      <c r="BH378" s="45">
        <f t="shared" si="2005"/>
        <v>0</v>
      </c>
      <c r="BI378" s="45">
        <f t="shared" si="2005"/>
        <v>0</v>
      </c>
      <c r="BJ378" s="45">
        <f t="shared" si="2005"/>
        <v>0</v>
      </c>
      <c r="BK378" s="45">
        <f t="shared" si="2005"/>
        <v>0</v>
      </c>
      <c r="BL378" s="45">
        <f t="shared" si="2005"/>
        <v>0</v>
      </c>
      <c r="BM378" s="45">
        <f t="shared" si="2005"/>
        <v>0</v>
      </c>
      <c r="BN378" s="45">
        <f t="shared" si="2005"/>
        <v>0</v>
      </c>
      <c r="BO378" s="45">
        <f t="shared" si="2005"/>
        <v>0</v>
      </c>
      <c r="BP378" s="45">
        <f t="shared" si="2005"/>
        <v>0</v>
      </c>
      <c r="BQ378" s="45">
        <f t="shared" si="2005"/>
        <v>0</v>
      </c>
      <c r="BR378" s="45">
        <f t="shared" si="2005"/>
        <v>0</v>
      </c>
      <c r="BS378" s="45">
        <f t="shared" si="2005"/>
        <v>0</v>
      </c>
      <c r="BT378" s="45">
        <f t="shared" si="2005"/>
        <v>2941.0599999999995</v>
      </c>
      <c r="BU378" s="45">
        <f t="shared" si="2005"/>
        <v>0</v>
      </c>
      <c r="BV378" s="45">
        <f t="shared" si="2005"/>
        <v>0</v>
      </c>
      <c r="BW378" s="45">
        <f t="shared" si="2005"/>
        <v>2941.0599999999995</v>
      </c>
      <c r="BX378" s="51"/>
      <c r="BY378" s="51"/>
      <c r="BZ378" s="51"/>
      <c r="CA378" s="51"/>
      <c r="CB378" s="51"/>
      <c r="CC378" s="51"/>
      <c r="CD378" s="51"/>
      <c r="CE378" s="51"/>
      <c r="CF378" s="51"/>
      <c r="CG378" s="51"/>
    </row>
    <row r="379" spans="1:85" ht="15.75">
      <c r="A379" s="217"/>
      <c r="B379" s="218"/>
      <c r="C379" s="219"/>
      <c r="D379" s="220" t="s">
        <v>168</v>
      </c>
      <c r="E379" s="213">
        <f t="shared" ref="E379:H379" si="2006">SUM(E380)</f>
        <v>0</v>
      </c>
      <c r="F379" s="214">
        <f t="shared" si="2006"/>
        <v>0</v>
      </c>
      <c r="G379" s="214">
        <f t="shared" si="2006"/>
        <v>0</v>
      </c>
      <c r="H379" s="214">
        <f t="shared" si="2006"/>
        <v>0</v>
      </c>
      <c r="I379" s="215">
        <f t="shared" si="1582"/>
        <v>0</v>
      </c>
      <c r="J379" s="215">
        <f t="shared" si="1583"/>
        <v>0</v>
      </c>
      <c r="K379" s="214">
        <f t="shared" ref="K379:W379" si="2007">SUM(K380)</f>
        <v>0</v>
      </c>
      <c r="L379" s="214">
        <f t="shared" si="2007"/>
        <v>0</v>
      </c>
      <c r="M379" s="214">
        <f t="shared" si="2007"/>
        <v>0</v>
      </c>
      <c r="N379" s="214">
        <f t="shared" si="2007"/>
        <v>0</v>
      </c>
      <c r="O379" s="214">
        <f t="shared" si="2007"/>
        <v>0</v>
      </c>
      <c r="P379" s="214">
        <f t="shared" si="2007"/>
        <v>0</v>
      </c>
      <c r="Q379" s="214">
        <f t="shared" si="2007"/>
        <v>0</v>
      </c>
      <c r="R379" s="214">
        <f t="shared" si="2007"/>
        <v>0</v>
      </c>
      <c r="S379" s="214">
        <f t="shared" si="2007"/>
        <v>0</v>
      </c>
      <c r="T379" s="214">
        <f t="shared" si="2007"/>
        <v>0</v>
      </c>
      <c r="U379" s="214">
        <f t="shared" si="2007"/>
        <v>0</v>
      </c>
      <c r="V379" s="214">
        <f t="shared" si="2007"/>
        <v>0</v>
      </c>
      <c r="W379" s="214">
        <f t="shared" si="2007"/>
        <v>0</v>
      </c>
      <c r="X379" s="216">
        <f t="shared" ref="X379:Y379" si="2008">IF(O379&gt;0,O379/K379,0)</f>
        <v>0</v>
      </c>
      <c r="Y379" s="216">
        <f t="shared" si="2008"/>
        <v>0</v>
      </c>
      <c r="Z379" s="216">
        <f t="shared" si="1658"/>
        <v>0</v>
      </c>
      <c r="AA379" s="214">
        <f t="shared" ref="AA379:BW379" si="2009">SUM(AA380)</f>
        <v>0</v>
      </c>
      <c r="AB379" s="214">
        <f t="shared" si="2009"/>
        <v>0</v>
      </c>
      <c r="AC379" s="214">
        <f t="shared" si="2009"/>
        <v>0</v>
      </c>
      <c r="AD379" s="214">
        <f t="shared" si="2009"/>
        <v>0</v>
      </c>
      <c r="AE379" s="214">
        <f t="shared" si="2009"/>
        <v>0</v>
      </c>
      <c r="AF379" s="214">
        <f t="shared" si="2009"/>
        <v>0</v>
      </c>
      <c r="AG379" s="214">
        <f t="shared" si="2009"/>
        <v>0</v>
      </c>
      <c r="AH379" s="214">
        <f t="shared" si="2009"/>
        <v>0</v>
      </c>
      <c r="AI379" s="214">
        <f t="shared" si="2009"/>
        <v>0</v>
      </c>
      <c r="AJ379" s="214">
        <f t="shared" si="2009"/>
        <v>0</v>
      </c>
      <c r="AK379" s="214">
        <f t="shared" si="2009"/>
        <v>0</v>
      </c>
      <c r="AL379" s="214">
        <f t="shared" si="2009"/>
        <v>0</v>
      </c>
      <c r="AM379" s="214">
        <f t="shared" si="2009"/>
        <v>0</v>
      </c>
      <c r="AN379" s="214">
        <f t="shared" si="2009"/>
        <v>0</v>
      </c>
      <c r="AO379" s="214">
        <f t="shared" si="2009"/>
        <v>0</v>
      </c>
      <c r="AP379" s="214">
        <f t="shared" si="2009"/>
        <v>0</v>
      </c>
      <c r="AQ379" s="214">
        <f t="shared" si="2009"/>
        <v>0</v>
      </c>
      <c r="AR379" s="214">
        <f t="shared" si="2009"/>
        <v>0</v>
      </c>
      <c r="AS379" s="214">
        <f t="shared" si="2009"/>
        <v>0</v>
      </c>
      <c r="AT379" s="214">
        <f t="shared" si="2009"/>
        <v>0</v>
      </c>
      <c r="AU379" s="214">
        <f t="shared" si="2009"/>
        <v>0</v>
      </c>
      <c r="AV379" s="214">
        <f t="shared" si="2009"/>
        <v>0</v>
      </c>
      <c r="AW379" s="214">
        <f t="shared" si="2009"/>
        <v>0</v>
      </c>
      <c r="AX379" s="214">
        <f t="shared" si="2009"/>
        <v>0</v>
      </c>
      <c r="AY379" s="214">
        <f t="shared" si="2009"/>
        <v>0</v>
      </c>
      <c r="AZ379" s="214">
        <f t="shared" si="2009"/>
        <v>0</v>
      </c>
      <c r="BA379" s="214">
        <f t="shared" si="2009"/>
        <v>0</v>
      </c>
      <c r="BB379" s="214">
        <f t="shared" si="2009"/>
        <v>0</v>
      </c>
      <c r="BC379" s="214">
        <f t="shared" si="2009"/>
        <v>0</v>
      </c>
      <c r="BD379" s="214">
        <f t="shared" si="2009"/>
        <v>0</v>
      </c>
      <c r="BE379" s="214">
        <f t="shared" si="2009"/>
        <v>0</v>
      </c>
      <c r="BF379" s="214">
        <f t="shared" si="2009"/>
        <v>0</v>
      </c>
      <c r="BG379" s="214">
        <f t="shared" si="2009"/>
        <v>0</v>
      </c>
      <c r="BH379" s="214">
        <f t="shared" si="2009"/>
        <v>0</v>
      </c>
      <c r="BI379" s="214">
        <f t="shared" si="2009"/>
        <v>0</v>
      </c>
      <c r="BJ379" s="214">
        <f t="shared" si="2009"/>
        <v>0</v>
      </c>
      <c r="BK379" s="214">
        <f t="shared" si="2009"/>
        <v>0</v>
      </c>
      <c r="BL379" s="214">
        <f t="shared" si="2009"/>
        <v>0</v>
      </c>
      <c r="BM379" s="214">
        <f t="shared" si="2009"/>
        <v>0</v>
      </c>
      <c r="BN379" s="214">
        <f t="shared" si="2009"/>
        <v>0</v>
      </c>
      <c r="BO379" s="214">
        <f t="shared" si="2009"/>
        <v>0</v>
      </c>
      <c r="BP379" s="214">
        <f t="shared" si="2009"/>
        <v>0</v>
      </c>
      <c r="BQ379" s="214">
        <f t="shared" si="2009"/>
        <v>0</v>
      </c>
      <c r="BR379" s="214">
        <f t="shared" si="2009"/>
        <v>0</v>
      </c>
      <c r="BS379" s="214">
        <f t="shared" si="2009"/>
        <v>0</v>
      </c>
      <c r="BT379" s="214">
        <f t="shared" si="2009"/>
        <v>0</v>
      </c>
      <c r="BU379" s="214">
        <f t="shared" si="2009"/>
        <v>0</v>
      </c>
      <c r="BV379" s="214">
        <f t="shared" si="2009"/>
        <v>0</v>
      </c>
      <c r="BW379" s="214">
        <f t="shared" si="2009"/>
        <v>0</v>
      </c>
      <c r="BX379" s="51"/>
      <c r="BY379" s="51"/>
      <c r="BZ379" s="51"/>
      <c r="CA379" s="51"/>
      <c r="CB379" s="51"/>
      <c r="CC379" s="51"/>
      <c r="CD379" s="51"/>
      <c r="CE379" s="51"/>
      <c r="CF379" s="51"/>
      <c r="CG379" s="51"/>
    </row>
    <row r="380" spans="1:85" ht="15.75" customHeight="1">
      <c r="A380" s="68"/>
      <c r="B380" s="103"/>
      <c r="C380" s="68" t="s">
        <v>456</v>
      </c>
      <c r="D380" s="70" t="s">
        <v>491</v>
      </c>
      <c r="E380" s="99">
        <v>0</v>
      </c>
      <c r="F380" s="99">
        <v>0</v>
      </c>
      <c r="G380" s="58">
        <f>E380-F380</f>
        <v>0</v>
      </c>
      <c r="H380" s="99">
        <v>0</v>
      </c>
      <c r="I380" s="59">
        <f t="shared" si="1582"/>
        <v>0</v>
      </c>
      <c r="J380" s="59">
        <f t="shared" si="1583"/>
        <v>0</v>
      </c>
      <c r="K380" s="74">
        <v>0</v>
      </c>
      <c r="L380" s="74">
        <v>0</v>
      </c>
      <c r="M380" s="74">
        <v>0</v>
      </c>
      <c r="N380" s="74">
        <v>0</v>
      </c>
      <c r="O380" s="61">
        <f t="shared" ref="O380:Q380" si="2010">AA380+AD380+AG380+AJ380+AM380+AP380+AS380+AV380+AY380+BB380+BE380+BH380</f>
        <v>0</v>
      </c>
      <c r="P380" s="61">
        <f t="shared" si="2010"/>
        <v>0</v>
      </c>
      <c r="Q380" s="61">
        <f t="shared" si="2010"/>
        <v>0</v>
      </c>
      <c r="R380" s="61">
        <f t="shared" ref="R380:T380" si="2011">IF(BK380=0,SUM(AA380+AD380+AG380+AJ380+AM380+AP380+AS380+AV380+AY380+BB380+BE380+BH380),BK380)</f>
        <v>0</v>
      </c>
      <c r="S380" s="61">
        <f t="shared" si="2011"/>
        <v>0</v>
      </c>
      <c r="T380" s="61">
        <f t="shared" si="2011"/>
        <v>0</v>
      </c>
      <c r="U380" s="208">
        <f>K380-O380</f>
        <v>0</v>
      </c>
      <c r="V380" s="63">
        <f>L380-M380-S380</f>
        <v>0</v>
      </c>
      <c r="W380" s="208">
        <f>N380-Q380</f>
        <v>0</v>
      </c>
      <c r="X380" s="64">
        <f t="shared" ref="X380:Y380" si="2012">IF(O380&gt;0,O380/K380,0)</f>
        <v>0</v>
      </c>
      <c r="Y380" s="64">
        <f t="shared" si="2012"/>
        <v>0</v>
      </c>
      <c r="Z380" s="64">
        <f t="shared" si="1658"/>
        <v>0</v>
      </c>
      <c r="AA380" s="65"/>
      <c r="AB380" s="65"/>
      <c r="AC380" s="65"/>
      <c r="AD380" s="65"/>
      <c r="AE380" s="66"/>
      <c r="AF380" s="66"/>
      <c r="AG380" s="66"/>
      <c r="AH380" s="66"/>
      <c r="AI380" s="65"/>
      <c r="AJ380" s="65"/>
      <c r="AK380" s="65"/>
      <c r="AL380" s="65"/>
      <c r="AM380" s="65"/>
      <c r="AN380" s="65"/>
      <c r="AO380" s="65"/>
      <c r="AP380" s="65"/>
      <c r="AQ380" s="65"/>
      <c r="AR380" s="65"/>
      <c r="AS380" s="65"/>
      <c r="AT380" s="65"/>
      <c r="AU380" s="65"/>
      <c r="AV380" s="65"/>
      <c r="AW380" s="65"/>
      <c r="AX380" s="65"/>
      <c r="AY380" s="65"/>
      <c r="AZ380" s="65"/>
      <c r="BA380" s="65"/>
      <c r="BB380" s="65"/>
      <c r="BC380" s="65"/>
      <c r="BD380" s="65"/>
      <c r="BE380" s="65"/>
      <c r="BF380" s="65"/>
      <c r="BG380" s="65"/>
      <c r="BH380" s="65"/>
      <c r="BI380" s="65"/>
      <c r="BJ380" s="65"/>
      <c r="BK380" s="65">
        <v>0</v>
      </c>
      <c r="BL380" s="65">
        <v>0</v>
      </c>
      <c r="BM380" s="65">
        <v>0</v>
      </c>
      <c r="BN380" s="65">
        <f>IF(O380-BK380&gt;0,O380-BK380,0)</f>
        <v>0</v>
      </c>
      <c r="BO380" s="67">
        <f>IF(Q380-BM380&gt;0,Q380-BM380,0)</f>
        <v>0</v>
      </c>
      <c r="BP380" s="65">
        <f>IF(BN380+BO380&gt;0,BN380+BO380,0)</f>
        <v>0</v>
      </c>
      <c r="BQ380" s="65">
        <f>IF(U380=0,0,U380)</f>
        <v>0</v>
      </c>
      <c r="BR380" s="65">
        <f>IF(W380=0,0,W380)</f>
        <v>0</v>
      </c>
      <c r="BS380" s="65">
        <f>IF(BQ380+BR380&gt;0,BQ380+BR380,0)</f>
        <v>0</v>
      </c>
      <c r="BT380" s="65">
        <f>IF(V380&gt;0,V380,0)</f>
        <v>0</v>
      </c>
      <c r="BU380" s="65">
        <f>IF(BP380=0,0,BP380)</f>
        <v>0</v>
      </c>
      <c r="BV380" s="65">
        <f>IF(BS380=0,0,BS380)</f>
        <v>0</v>
      </c>
      <c r="BW380" s="65">
        <f>IF(BP380+BT380+BV380&gt;0,BP380+BT380+BV380,0)</f>
        <v>0</v>
      </c>
      <c r="BX380" s="6"/>
      <c r="BY380" s="6"/>
      <c r="BZ380" s="6"/>
      <c r="CA380" s="6"/>
      <c r="CB380" s="6"/>
      <c r="CC380" s="6"/>
      <c r="CD380" s="6"/>
      <c r="CE380" s="6"/>
      <c r="CF380" s="6"/>
      <c r="CG380" s="6"/>
    </row>
    <row r="381" spans="1:85" ht="15.75">
      <c r="A381" s="217"/>
      <c r="B381" s="218"/>
      <c r="C381" s="219"/>
      <c r="D381" s="220" t="s">
        <v>264</v>
      </c>
      <c r="E381" s="213">
        <f t="shared" ref="E381:H381" si="2013">SUM(E382+E383)</f>
        <v>0</v>
      </c>
      <c r="F381" s="213">
        <f t="shared" si="2013"/>
        <v>0</v>
      </c>
      <c r="G381" s="213">
        <f t="shared" si="2013"/>
        <v>0</v>
      </c>
      <c r="H381" s="213">
        <f t="shared" si="2013"/>
        <v>0</v>
      </c>
      <c r="I381" s="215">
        <f t="shared" si="1582"/>
        <v>0</v>
      </c>
      <c r="J381" s="215">
        <f t="shared" si="1583"/>
        <v>0</v>
      </c>
      <c r="K381" s="213">
        <f t="shared" ref="K381:W381" si="2014">SUM(K382+K383)</f>
        <v>0</v>
      </c>
      <c r="L381" s="213">
        <f t="shared" si="2014"/>
        <v>14343</v>
      </c>
      <c r="M381" s="213">
        <f t="shared" si="2014"/>
        <v>0</v>
      </c>
      <c r="N381" s="213">
        <f t="shared" si="2014"/>
        <v>0</v>
      </c>
      <c r="O381" s="213">
        <f t="shared" si="2014"/>
        <v>0</v>
      </c>
      <c r="P381" s="213">
        <f t="shared" si="2014"/>
        <v>11401.94</v>
      </c>
      <c r="Q381" s="213">
        <f t="shared" si="2014"/>
        <v>0</v>
      </c>
      <c r="R381" s="213">
        <f t="shared" si="2014"/>
        <v>0</v>
      </c>
      <c r="S381" s="213">
        <f t="shared" si="2014"/>
        <v>11401.94</v>
      </c>
      <c r="T381" s="213">
        <f t="shared" si="2014"/>
        <v>0</v>
      </c>
      <c r="U381" s="213">
        <f t="shared" si="2014"/>
        <v>0</v>
      </c>
      <c r="V381" s="213">
        <f t="shared" si="2014"/>
        <v>2941.0599999999995</v>
      </c>
      <c r="W381" s="213">
        <f t="shared" si="2014"/>
        <v>0</v>
      </c>
      <c r="X381" s="216">
        <f t="shared" ref="X381:Y381" si="2015">IF(O381&gt;0,O381/K381,0)</f>
        <v>0</v>
      </c>
      <c r="Y381" s="216">
        <f t="shared" si="2015"/>
        <v>0.79494805828627213</v>
      </c>
      <c r="Z381" s="216">
        <f t="shared" si="1658"/>
        <v>0</v>
      </c>
      <c r="AA381" s="213">
        <f t="shared" ref="AA381:BW381" si="2016">SUM(AA382+AA383)</f>
        <v>0</v>
      </c>
      <c r="AB381" s="213">
        <f t="shared" si="2016"/>
        <v>0</v>
      </c>
      <c r="AC381" s="213">
        <f t="shared" si="2016"/>
        <v>0</v>
      </c>
      <c r="AD381" s="213">
        <f t="shared" si="2016"/>
        <v>0</v>
      </c>
      <c r="AE381" s="213">
        <f t="shared" si="2016"/>
        <v>0</v>
      </c>
      <c r="AF381" s="213">
        <f t="shared" si="2016"/>
        <v>0</v>
      </c>
      <c r="AG381" s="213">
        <f t="shared" si="2016"/>
        <v>0</v>
      </c>
      <c r="AH381" s="213">
        <f t="shared" si="2016"/>
        <v>8488.1200000000008</v>
      </c>
      <c r="AI381" s="213">
        <f t="shared" si="2016"/>
        <v>0</v>
      </c>
      <c r="AJ381" s="213">
        <f t="shared" si="2016"/>
        <v>0</v>
      </c>
      <c r="AK381" s="213">
        <f t="shared" si="2016"/>
        <v>2868.74</v>
      </c>
      <c r="AL381" s="213">
        <f t="shared" si="2016"/>
        <v>0</v>
      </c>
      <c r="AM381" s="213">
        <f t="shared" si="2016"/>
        <v>0</v>
      </c>
      <c r="AN381" s="213">
        <f t="shared" si="2016"/>
        <v>45.08</v>
      </c>
      <c r="AO381" s="213">
        <f t="shared" si="2016"/>
        <v>0</v>
      </c>
      <c r="AP381" s="213">
        <f t="shared" si="2016"/>
        <v>0</v>
      </c>
      <c r="AQ381" s="213">
        <f t="shared" si="2016"/>
        <v>0</v>
      </c>
      <c r="AR381" s="213">
        <f t="shared" si="2016"/>
        <v>0</v>
      </c>
      <c r="AS381" s="213">
        <f t="shared" si="2016"/>
        <v>0</v>
      </c>
      <c r="AT381" s="213">
        <f t="shared" si="2016"/>
        <v>0</v>
      </c>
      <c r="AU381" s="213">
        <f t="shared" si="2016"/>
        <v>0</v>
      </c>
      <c r="AV381" s="213">
        <f t="shared" si="2016"/>
        <v>0</v>
      </c>
      <c r="AW381" s="213">
        <f t="shared" si="2016"/>
        <v>0</v>
      </c>
      <c r="AX381" s="213">
        <f t="shared" si="2016"/>
        <v>0</v>
      </c>
      <c r="AY381" s="213">
        <f t="shared" si="2016"/>
        <v>0</v>
      </c>
      <c r="AZ381" s="213">
        <f t="shared" si="2016"/>
        <v>0</v>
      </c>
      <c r="BA381" s="213">
        <f t="shared" si="2016"/>
        <v>0</v>
      </c>
      <c r="BB381" s="213">
        <f t="shared" si="2016"/>
        <v>0</v>
      </c>
      <c r="BC381" s="213">
        <f t="shared" si="2016"/>
        <v>0</v>
      </c>
      <c r="BD381" s="213">
        <f t="shared" si="2016"/>
        <v>0</v>
      </c>
      <c r="BE381" s="213">
        <f t="shared" si="2016"/>
        <v>0</v>
      </c>
      <c r="BF381" s="213">
        <f t="shared" si="2016"/>
        <v>0</v>
      </c>
      <c r="BG381" s="213">
        <f t="shared" si="2016"/>
        <v>0</v>
      </c>
      <c r="BH381" s="213">
        <f t="shared" si="2016"/>
        <v>0</v>
      </c>
      <c r="BI381" s="213">
        <f t="shared" si="2016"/>
        <v>0</v>
      </c>
      <c r="BJ381" s="213">
        <f t="shared" si="2016"/>
        <v>0</v>
      </c>
      <c r="BK381" s="213">
        <f t="shared" si="2016"/>
        <v>0</v>
      </c>
      <c r="BL381" s="213">
        <f t="shared" si="2016"/>
        <v>0</v>
      </c>
      <c r="BM381" s="213">
        <f t="shared" si="2016"/>
        <v>0</v>
      </c>
      <c r="BN381" s="213">
        <f t="shared" si="2016"/>
        <v>0</v>
      </c>
      <c r="BO381" s="213">
        <f t="shared" si="2016"/>
        <v>0</v>
      </c>
      <c r="BP381" s="213">
        <f t="shared" si="2016"/>
        <v>0</v>
      </c>
      <c r="BQ381" s="213">
        <f t="shared" si="2016"/>
        <v>0</v>
      </c>
      <c r="BR381" s="213">
        <f t="shared" si="2016"/>
        <v>0</v>
      </c>
      <c r="BS381" s="213">
        <f t="shared" si="2016"/>
        <v>0</v>
      </c>
      <c r="BT381" s="213">
        <f t="shared" si="2016"/>
        <v>2941.0599999999995</v>
      </c>
      <c r="BU381" s="213">
        <f t="shared" si="2016"/>
        <v>0</v>
      </c>
      <c r="BV381" s="213">
        <f t="shared" si="2016"/>
        <v>0</v>
      </c>
      <c r="BW381" s="213">
        <f t="shared" si="2016"/>
        <v>2941.0599999999995</v>
      </c>
      <c r="BX381" s="51"/>
      <c r="BY381" s="51"/>
      <c r="BZ381" s="51"/>
      <c r="CA381" s="51"/>
      <c r="CB381" s="51"/>
      <c r="CC381" s="51"/>
      <c r="CD381" s="51"/>
      <c r="CE381" s="51"/>
      <c r="CF381" s="51"/>
      <c r="CG381" s="51"/>
    </row>
    <row r="382" spans="1:85" ht="15.75" customHeight="1">
      <c r="A382" s="275"/>
      <c r="B382" s="275" t="s">
        <v>492</v>
      </c>
      <c r="C382" s="68" t="s">
        <v>474</v>
      </c>
      <c r="D382" s="70" t="s">
        <v>493</v>
      </c>
      <c r="E382" s="99">
        <v>0</v>
      </c>
      <c r="F382" s="99">
        <v>0</v>
      </c>
      <c r="G382" s="58">
        <f t="shared" ref="G382:G383" si="2017">E382-F382</f>
        <v>0</v>
      </c>
      <c r="H382" s="99">
        <v>0</v>
      </c>
      <c r="I382" s="59">
        <f t="shared" si="1582"/>
        <v>0</v>
      </c>
      <c r="J382" s="59">
        <f t="shared" si="1583"/>
        <v>0</v>
      </c>
      <c r="K382" s="336">
        <v>0</v>
      </c>
      <c r="L382" s="113">
        <v>14343</v>
      </c>
      <c r="M382" s="113">
        <v>0</v>
      </c>
      <c r="N382" s="87">
        <v>0</v>
      </c>
      <c r="O382" s="61">
        <f t="shared" ref="O382:Q382" si="2018">AA382+AD382+AG382+AJ382+AM382+AP382+AS382+AV382+AY382+BB382+BE382+BH382</f>
        <v>0</v>
      </c>
      <c r="P382" s="61">
        <f t="shared" si="2018"/>
        <v>11401.94</v>
      </c>
      <c r="Q382" s="61">
        <f t="shared" si="2018"/>
        <v>0</v>
      </c>
      <c r="R382" s="61">
        <f t="shared" ref="R382:T382" si="2019">IF(BK382=0,SUM(AA382+AD382+AG382+AJ382+AM382+AP382+AS382+AV382+AY382+BB382+BE382+BH382),BK382)</f>
        <v>0</v>
      </c>
      <c r="S382" s="61">
        <f t="shared" si="2019"/>
        <v>11401.94</v>
      </c>
      <c r="T382" s="61">
        <f t="shared" si="2019"/>
        <v>0</v>
      </c>
      <c r="U382" s="208">
        <f t="shared" ref="U382:U383" si="2020">K382-O382</f>
        <v>0</v>
      </c>
      <c r="V382" s="170">
        <f t="shared" ref="V382:V383" si="2021">L382-M382-S382</f>
        <v>2941.0599999999995</v>
      </c>
      <c r="W382" s="63">
        <f t="shared" ref="W382:W383" si="2022">N382-Q382</f>
        <v>0</v>
      </c>
      <c r="X382" s="64">
        <f t="shared" ref="X382:Y382" si="2023">IF(O382&gt;0,O382/K382,0)</f>
        <v>0</v>
      </c>
      <c r="Y382" s="64">
        <f t="shared" si="2023"/>
        <v>0.79494805828627213</v>
      </c>
      <c r="Z382" s="64">
        <f t="shared" si="1658"/>
        <v>0</v>
      </c>
      <c r="AA382" s="65"/>
      <c r="AB382" s="65"/>
      <c r="AC382" s="65"/>
      <c r="AD382" s="65"/>
      <c r="AE382" s="66"/>
      <c r="AF382" s="66"/>
      <c r="AG382" s="66"/>
      <c r="AH382" s="113">
        <v>8488.1200000000008</v>
      </c>
      <c r="AI382" s="65"/>
      <c r="AJ382" s="65"/>
      <c r="AK382" s="65">
        <f>2868.74</f>
        <v>2868.74</v>
      </c>
      <c r="AL382" s="65"/>
      <c r="AM382" s="65"/>
      <c r="AN382" s="100">
        <v>45.08</v>
      </c>
      <c r="AO382" s="65"/>
      <c r="AP382" s="65"/>
      <c r="AQ382" s="65"/>
      <c r="AR382" s="65"/>
      <c r="AS382" s="65"/>
      <c r="AT382" s="65"/>
      <c r="AU382" s="65"/>
      <c r="AV382" s="65"/>
      <c r="AW382" s="65"/>
      <c r="AX382" s="65"/>
      <c r="AY382" s="65"/>
      <c r="AZ382" s="65"/>
      <c r="BA382" s="65"/>
      <c r="BB382" s="65"/>
      <c r="BC382" s="65"/>
      <c r="BD382" s="65"/>
      <c r="BE382" s="65"/>
      <c r="BF382" s="65"/>
      <c r="BG382" s="65"/>
      <c r="BH382" s="65"/>
      <c r="BI382" s="65"/>
      <c r="BJ382" s="65"/>
      <c r="BK382" s="65">
        <v>0</v>
      </c>
      <c r="BL382" s="65">
        <v>0</v>
      </c>
      <c r="BM382" s="65">
        <v>0</v>
      </c>
      <c r="BN382" s="65">
        <f t="shared" ref="BN382:BN383" si="2024">IF(O382-BK382&gt;0,O382-BK382,0)</f>
        <v>0</v>
      </c>
      <c r="BO382" s="67">
        <f t="shared" ref="BO382:BO383" si="2025">IF(Q382-BM382&gt;0,Q382-BM382,0)</f>
        <v>0</v>
      </c>
      <c r="BP382" s="65">
        <f t="shared" ref="BP382:BP383" si="2026">IF(BN382+BO382&gt;0,BN382+BO382,0)</f>
        <v>0</v>
      </c>
      <c r="BQ382" s="65">
        <f t="shared" ref="BQ382:BQ383" si="2027">IF(U382=0,0,U382)</f>
        <v>0</v>
      </c>
      <c r="BR382" s="65">
        <f t="shared" ref="BR382:BR383" si="2028">IF(W382=0,0,W382)</f>
        <v>0</v>
      </c>
      <c r="BS382" s="65">
        <f t="shared" ref="BS382:BS383" si="2029">IF(BQ382+BR382&gt;0,BQ382+BR382,0)</f>
        <v>0</v>
      </c>
      <c r="BT382" s="65">
        <f t="shared" ref="BT382:BT383" si="2030">IF(V382&gt;0,V382,0)</f>
        <v>2941.0599999999995</v>
      </c>
      <c r="BU382" s="65">
        <f t="shared" ref="BU382:BU383" si="2031">IF(BP382=0,0,BP382)</f>
        <v>0</v>
      </c>
      <c r="BV382" s="65">
        <f t="shared" ref="BV382:BV383" si="2032">IF(BS382=0,0,BS382)</f>
        <v>0</v>
      </c>
      <c r="BW382" s="65">
        <f t="shared" ref="BW382:BW383" si="2033">IF(BP382+BT382+BV382&gt;0,BP382+BT382+BV382,0)</f>
        <v>2941.0599999999995</v>
      </c>
      <c r="BX382" s="6"/>
      <c r="BY382" s="6"/>
      <c r="BZ382" s="6"/>
      <c r="CA382" s="6"/>
      <c r="CB382" s="6"/>
      <c r="CC382" s="6"/>
      <c r="CD382" s="6"/>
      <c r="CE382" s="6"/>
      <c r="CF382" s="6"/>
      <c r="CG382" s="6"/>
    </row>
    <row r="383" spans="1:85" ht="15.75" customHeight="1">
      <c r="A383" s="275"/>
      <c r="B383" s="314"/>
      <c r="C383" s="68" t="s">
        <v>494</v>
      </c>
      <c r="D383" s="70" t="s">
        <v>495</v>
      </c>
      <c r="E383" s="99">
        <v>0</v>
      </c>
      <c r="F383" s="99">
        <v>0</v>
      </c>
      <c r="G383" s="58">
        <f t="shared" si="2017"/>
        <v>0</v>
      </c>
      <c r="H383" s="99">
        <v>0</v>
      </c>
      <c r="I383" s="59">
        <f t="shared" si="1582"/>
        <v>0</v>
      </c>
      <c r="J383" s="59">
        <f t="shared" si="1583"/>
        <v>0</v>
      </c>
      <c r="K383" s="74">
        <v>0</v>
      </c>
      <c r="L383" s="74">
        <v>0</v>
      </c>
      <c r="M383" s="74">
        <v>0</v>
      </c>
      <c r="N383" s="74">
        <v>0</v>
      </c>
      <c r="O383" s="61">
        <f t="shared" ref="O383:Q383" si="2034">AA383+AD383+AG383+AJ383+AM383+AP383+AS383+AV383+AY383+BB383+BE383+BH383</f>
        <v>0</v>
      </c>
      <c r="P383" s="61">
        <f t="shared" si="2034"/>
        <v>0</v>
      </c>
      <c r="Q383" s="61">
        <f t="shared" si="2034"/>
        <v>0</v>
      </c>
      <c r="R383" s="61">
        <f t="shared" ref="R383:T383" si="2035">IF(BK383=0,SUM(AA383+AD383+AG383+AJ383+AM383+AP383+AS383+AV383+AY383+BB383+BE383+BH383),BK383)</f>
        <v>0</v>
      </c>
      <c r="S383" s="61">
        <f t="shared" si="2035"/>
        <v>0</v>
      </c>
      <c r="T383" s="61">
        <f t="shared" si="2035"/>
        <v>0</v>
      </c>
      <c r="U383" s="63">
        <f t="shared" si="2020"/>
        <v>0</v>
      </c>
      <c r="V383" s="63">
        <f t="shared" si="2021"/>
        <v>0</v>
      </c>
      <c r="W383" s="208">
        <f t="shared" si="2022"/>
        <v>0</v>
      </c>
      <c r="X383" s="64">
        <f t="shared" ref="X383:Y383" si="2036">IF(O383&gt;0,O383/K383,0)</f>
        <v>0</v>
      </c>
      <c r="Y383" s="64">
        <f t="shared" si="2036"/>
        <v>0</v>
      </c>
      <c r="Z383" s="64">
        <f t="shared" si="1658"/>
        <v>0</v>
      </c>
      <c r="AA383" s="65"/>
      <c r="AB383" s="65"/>
      <c r="AC383" s="65"/>
      <c r="AD383" s="65"/>
      <c r="AE383" s="66"/>
      <c r="AF383" s="66"/>
      <c r="AG383" s="66"/>
      <c r="AH383" s="66"/>
      <c r="AI383" s="65"/>
      <c r="AJ383" s="65"/>
      <c r="AK383" s="65"/>
      <c r="AL383" s="65"/>
      <c r="AM383" s="65"/>
      <c r="AN383" s="65"/>
      <c r="AO383" s="65"/>
      <c r="AP383" s="65"/>
      <c r="AQ383" s="65"/>
      <c r="AR383" s="65"/>
      <c r="AS383" s="65"/>
      <c r="AT383" s="65"/>
      <c r="AU383" s="65"/>
      <c r="AV383" s="65"/>
      <c r="AW383" s="65"/>
      <c r="AX383" s="65"/>
      <c r="AY383" s="65"/>
      <c r="AZ383" s="65"/>
      <c r="BA383" s="65"/>
      <c r="BB383" s="65"/>
      <c r="BC383" s="65"/>
      <c r="BD383" s="65"/>
      <c r="BE383" s="65"/>
      <c r="BF383" s="65"/>
      <c r="BG383" s="65"/>
      <c r="BH383" s="65"/>
      <c r="BI383" s="65"/>
      <c r="BJ383" s="65"/>
      <c r="BK383" s="65">
        <v>0</v>
      </c>
      <c r="BL383" s="65">
        <v>0</v>
      </c>
      <c r="BM383" s="65">
        <v>0</v>
      </c>
      <c r="BN383" s="65">
        <f t="shared" si="2024"/>
        <v>0</v>
      </c>
      <c r="BO383" s="67">
        <f t="shared" si="2025"/>
        <v>0</v>
      </c>
      <c r="BP383" s="65">
        <f t="shared" si="2026"/>
        <v>0</v>
      </c>
      <c r="BQ383" s="65">
        <f t="shared" si="2027"/>
        <v>0</v>
      </c>
      <c r="BR383" s="65">
        <f t="shared" si="2028"/>
        <v>0</v>
      </c>
      <c r="BS383" s="65">
        <f t="shared" si="2029"/>
        <v>0</v>
      </c>
      <c r="BT383" s="65">
        <f t="shared" si="2030"/>
        <v>0</v>
      </c>
      <c r="BU383" s="65">
        <f t="shared" si="2031"/>
        <v>0</v>
      </c>
      <c r="BV383" s="65">
        <f t="shared" si="2032"/>
        <v>0</v>
      </c>
      <c r="BW383" s="65">
        <f t="shared" si="2033"/>
        <v>0</v>
      </c>
      <c r="BX383" s="6"/>
      <c r="BY383" s="6"/>
      <c r="BZ383" s="6"/>
      <c r="CA383" s="6"/>
      <c r="CB383" s="6"/>
      <c r="CC383" s="6"/>
      <c r="CD383" s="6"/>
      <c r="CE383" s="6"/>
      <c r="CF383" s="6"/>
      <c r="CG383" s="6"/>
    </row>
    <row r="384" spans="1:85" ht="15.75" customHeight="1">
      <c r="A384" s="337" t="s">
        <v>496</v>
      </c>
      <c r="B384" s="249"/>
      <c r="C384" s="250"/>
      <c r="D384" s="251" t="s">
        <v>497</v>
      </c>
      <c r="E384" s="38">
        <f t="shared" ref="E384:H384" si="2037">E385+E406+E420+E485+E489+E515</f>
        <v>194039.47999999998</v>
      </c>
      <c r="F384" s="38">
        <f t="shared" si="2037"/>
        <v>0</v>
      </c>
      <c r="G384" s="38">
        <f t="shared" si="2037"/>
        <v>194039.47999999998</v>
      </c>
      <c r="H384" s="38">
        <f t="shared" si="2037"/>
        <v>4544160.5100000007</v>
      </c>
      <c r="I384" s="39">
        <f t="shared" si="1582"/>
        <v>0</v>
      </c>
      <c r="J384" s="39">
        <f t="shared" si="1583"/>
        <v>0</v>
      </c>
      <c r="K384" s="38">
        <f t="shared" ref="K384:W384" si="2038">K385+K406+K420+K485+K489+K515</f>
        <v>0</v>
      </c>
      <c r="L384" s="38">
        <f t="shared" si="2038"/>
        <v>379792.59999999992</v>
      </c>
      <c r="M384" s="38">
        <f t="shared" si="2038"/>
        <v>0</v>
      </c>
      <c r="N384" s="38">
        <f t="shared" si="2038"/>
        <v>2539766.5499999998</v>
      </c>
      <c r="O384" s="38">
        <f t="shared" si="2038"/>
        <v>0</v>
      </c>
      <c r="P384" s="38">
        <f t="shared" si="2038"/>
        <v>329118.09999999998</v>
      </c>
      <c r="Q384" s="38">
        <f t="shared" si="2038"/>
        <v>885278.39999999991</v>
      </c>
      <c r="R384" s="38">
        <f t="shared" si="2038"/>
        <v>0</v>
      </c>
      <c r="S384" s="38">
        <f t="shared" si="2038"/>
        <v>329118.09999999998</v>
      </c>
      <c r="T384" s="38">
        <f t="shared" si="2038"/>
        <v>885278.39999999991</v>
      </c>
      <c r="U384" s="38">
        <f t="shared" si="2038"/>
        <v>0</v>
      </c>
      <c r="V384" s="38">
        <f t="shared" si="2038"/>
        <v>50674.5</v>
      </c>
      <c r="W384" s="38">
        <f t="shared" si="2038"/>
        <v>1654488.15</v>
      </c>
      <c r="X384" s="40">
        <f t="shared" ref="X384:Y384" si="2039">IF(O384&gt;0,O384/K384,0)</f>
        <v>0</v>
      </c>
      <c r="Y384" s="40">
        <f t="shared" si="2039"/>
        <v>0.86657322970484429</v>
      </c>
      <c r="Z384" s="40">
        <f t="shared" si="1658"/>
        <v>0.34856683973572294</v>
      </c>
      <c r="AA384" s="38">
        <f t="shared" ref="AA384:BW384" si="2040">AA385+AA406+AA420+AA485+AA489+AA515</f>
        <v>0</v>
      </c>
      <c r="AB384" s="38">
        <f t="shared" si="2040"/>
        <v>6079.6</v>
      </c>
      <c r="AC384" s="38">
        <f t="shared" si="2040"/>
        <v>0</v>
      </c>
      <c r="AD384" s="38">
        <f t="shared" si="2040"/>
        <v>0</v>
      </c>
      <c r="AE384" s="38">
        <f t="shared" si="2040"/>
        <v>41655.24</v>
      </c>
      <c r="AF384" s="38">
        <f t="shared" si="2040"/>
        <v>94301.75</v>
      </c>
      <c r="AG384" s="38">
        <f t="shared" si="2040"/>
        <v>0</v>
      </c>
      <c r="AH384" s="38">
        <f t="shared" si="2040"/>
        <v>94297.22</v>
      </c>
      <c r="AI384" s="38">
        <f t="shared" si="2040"/>
        <v>150979.57</v>
      </c>
      <c r="AJ384" s="38">
        <f t="shared" si="2040"/>
        <v>0</v>
      </c>
      <c r="AK384" s="38">
        <f t="shared" si="2040"/>
        <v>96981.13</v>
      </c>
      <c r="AL384" s="38">
        <f t="shared" si="2040"/>
        <v>183221.65</v>
      </c>
      <c r="AM384" s="38">
        <f t="shared" si="2040"/>
        <v>0</v>
      </c>
      <c r="AN384" s="38">
        <f t="shared" si="2040"/>
        <v>62582.909999999989</v>
      </c>
      <c r="AO384" s="38">
        <f t="shared" si="2040"/>
        <v>189665.01</v>
      </c>
      <c r="AP384" s="38">
        <f t="shared" si="2040"/>
        <v>0</v>
      </c>
      <c r="AQ384" s="38">
        <f t="shared" si="2040"/>
        <v>27522</v>
      </c>
      <c r="AR384" s="38">
        <f t="shared" si="2040"/>
        <v>267110.42000000004</v>
      </c>
      <c r="AS384" s="38">
        <f t="shared" si="2040"/>
        <v>0</v>
      </c>
      <c r="AT384" s="38">
        <f t="shared" si="2040"/>
        <v>0</v>
      </c>
      <c r="AU384" s="38">
        <f t="shared" si="2040"/>
        <v>0</v>
      </c>
      <c r="AV384" s="38">
        <f t="shared" si="2040"/>
        <v>0</v>
      </c>
      <c r="AW384" s="38">
        <f t="shared" si="2040"/>
        <v>0</v>
      </c>
      <c r="AX384" s="38">
        <f t="shared" si="2040"/>
        <v>0</v>
      </c>
      <c r="AY384" s="38">
        <f t="shared" si="2040"/>
        <v>0</v>
      </c>
      <c r="AZ384" s="38">
        <f t="shared" si="2040"/>
        <v>0</v>
      </c>
      <c r="BA384" s="38">
        <f t="shared" si="2040"/>
        <v>0</v>
      </c>
      <c r="BB384" s="38">
        <f t="shared" si="2040"/>
        <v>0</v>
      </c>
      <c r="BC384" s="38">
        <f t="shared" si="2040"/>
        <v>0</v>
      </c>
      <c r="BD384" s="38">
        <f t="shared" si="2040"/>
        <v>0</v>
      </c>
      <c r="BE384" s="38">
        <f t="shared" si="2040"/>
        <v>0</v>
      </c>
      <c r="BF384" s="38">
        <f t="shared" si="2040"/>
        <v>0</v>
      </c>
      <c r="BG384" s="38">
        <f t="shared" si="2040"/>
        <v>0</v>
      </c>
      <c r="BH384" s="38">
        <f t="shared" si="2040"/>
        <v>0</v>
      </c>
      <c r="BI384" s="38">
        <f t="shared" si="2040"/>
        <v>0</v>
      </c>
      <c r="BJ384" s="38">
        <f t="shared" si="2040"/>
        <v>0</v>
      </c>
      <c r="BK384" s="38">
        <f t="shared" si="2040"/>
        <v>0</v>
      </c>
      <c r="BL384" s="38">
        <f t="shared" si="2040"/>
        <v>0</v>
      </c>
      <c r="BM384" s="38">
        <f t="shared" si="2040"/>
        <v>0</v>
      </c>
      <c r="BN384" s="38">
        <f t="shared" si="2040"/>
        <v>0</v>
      </c>
      <c r="BO384" s="38">
        <f t="shared" si="2040"/>
        <v>876237.11</v>
      </c>
      <c r="BP384" s="38">
        <f t="shared" si="2040"/>
        <v>876237.11</v>
      </c>
      <c r="BQ384" s="38">
        <f t="shared" si="2040"/>
        <v>0</v>
      </c>
      <c r="BR384" s="38">
        <f t="shared" si="2040"/>
        <v>1592209.44</v>
      </c>
      <c r="BS384" s="38">
        <f t="shared" si="2040"/>
        <v>1592209.44</v>
      </c>
      <c r="BT384" s="38">
        <f t="shared" si="2040"/>
        <v>50674.5</v>
      </c>
      <c r="BU384" s="38">
        <f t="shared" si="2040"/>
        <v>876237.11</v>
      </c>
      <c r="BV384" s="38">
        <f t="shared" si="2040"/>
        <v>1592209.44</v>
      </c>
      <c r="BW384" s="38">
        <f t="shared" si="2040"/>
        <v>2519121.0499999998</v>
      </c>
      <c r="BX384" s="6"/>
      <c r="BY384" s="6"/>
      <c r="BZ384" s="6"/>
      <c r="CA384" s="6"/>
      <c r="CB384" s="6"/>
      <c r="CC384" s="6"/>
      <c r="CD384" s="6"/>
      <c r="CE384" s="6"/>
      <c r="CF384" s="6"/>
      <c r="CG384" s="6"/>
    </row>
    <row r="385" spans="1:85" ht="15.75" customHeight="1">
      <c r="A385" s="325"/>
      <c r="B385" s="338"/>
      <c r="C385" s="327"/>
      <c r="D385" s="328" t="s">
        <v>498</v>
      </c>
      <c r="E385" s="329">
        <f t="shared" ref="E385:H385" si="2041">E386+E391+E394+E398+E400</f>
        <v>194039.47999999998</v>
      </c>
      <c r="F385" s="329">
        <f t="shared" si="2041"/>
        <v>0</v>
      </c>
      <c r="G385" s="329">
        <f t="shared" si="2041"/>
        <v>194039.47999999998</v>
      </c>
      <c r="H385" s="329">
        <f t="shared" si="2041"/>
        <v>0</v>
      </c>
      <c r="I385" s="330">
        <f t="shared" si="1582"/>
        <v>0</v>
      </c>
      <c r="J385" s="330">
        <f t="shared" si="1583"/>
        <v>0</v>
      </c>
      <c r="K385" s="329">
        <f t="shared" ref="K385:W385" si="2042">K386+K391+K394+K398+K400</f>
        <v>0</v>
      </c>
      <c r="L385" s="329">
        <f t="shared" si="2042"/>
        <v>16662.79</v>
      </c>
      <c r="M385" s="329">
        <f t="shared" si="2042"/>
        <v>0</v>
      </c>
      <c r="N385" s="329">
        <f t="shared" si="2042"/>
        <v>0</v>
      </c>
      <c r="O385" s="329">
        <f t="shared" si="2042"/>
        <v>0</v>
      </c>
      <c r="P385" s="329">
        <f t="shared" si="2042"/>
        <v>2315.34</v>
      </c>
      <c r="Q385" s="329">
        <f t="shared" si="2042"/>
        <v>0</v>
      </c>
      <c r="R385" s="329">
        <f t="shared" si="2042"/>
        <v>0</v>
      </c>
      <c r="S385" s="329">
        <f t="shared" si="2042"/>
        <v>2315.34</v>
      </c>
      <c r="T385" s="329">
        <f t="shared" si="2042"/>
        <v>0</v>
      </c>
      <c r="U385" s="329">
        <f t="shared" si="2042"/>
        <v>0</v>
      </c>
      <c r="V385" s="329">
        <f t="shared" si="2042"/>
        <v>14347.449999999999</v>
      </c>
      <c r="W385" s="329">
        <f t="shared" si="2042"/>
        <v>0</v>
      </c>
      <c r="X385" s="339">
        <f t="shared" ref="X385:Y385" si="2043">IF(O385&gt;0,O385/K385,0)</f>
        <v>0</v>
      </c>
      <c r="Y385" s="339">
        <f t="shared" si="2043"/>
        <v>0.13895272040276568</v>
      </c>
      <c r="Z385" s="339">
        <f t="shared" si="1658"/>
        <v>0</v>
      </c>
      <c r="AA385" s="329">
        <f t="shared" ref="AA385:BW385" si="2044">AA386+AA391+AA394+AA398+AA400</f>
        <v>0</v>
      </c>
      <c r="AB385" s="329">
        <f t="shared" si="2044"/>
        <v>0</v>
      </c>
      <c r="AC385" s="329">
        <f t="shared" si="2044"/>
        <v>0</v>
      </c>
      <c r="AD385" s="329">
        <f t="shared" si="2044"/>
        <v>0</v>
      </c>
      <c r="AE385" s="329">
        <f t="shared" si="2044"/>
        <v>0</v>
      </c>
      <c r="AF385" s="329">
        <f t="shared" si="2044"/>
        <v>0</v>
      </c>
      <c r="AG385" s="329">
        <f t="shared" si="2044"/>
        <v>0</v>
      </c>
      <c r="AH385" s="329">
        <f t="shared" si="2044"/>
        <v>0</v>
      </c>
      <c r="AI385" s="329">
        <f t="shared" si="2044"/>
        <v>0</v>
      </c>
      <c r="AJ385" s="329">
        <f t="shared" si="2044"/>
        <v>0</v>
      </c>
      <c r="AK385" s="329">
        <f t="shared" si="2044"/>
        <v>0</v>
      </c>
      <c r="AL385" s="329">
        <f t="shared" si="2044"/>
        <v>0</v>
      </c>
      <c r="AM385" s="329">
        <f t="shared" si="2044"/>
        <v>0</v>
      </c>
      <c r="AN385" s="329">
        <f t="shared" si="2044"/>
        <v>2315.34</v>
      </c>
      <c r="AO385" s="329">
        <f t="shared" si="2044"/>
        <v>0</v>
      </c>
      <c r="AP385" s="329">
        <f t="shared" si="2044"/>
        <v>0</v>
      </c>
      <c r="AQ385" s="329">
        <f t="shared" si="2044"/>
        <v>0</v>
      </c>
      <c r="AR385" s="329">
        <f t="shared" si="2044"/>
        <v>0</v>
      </c>
      <c r="AS385" s="329">
        <f t="shared" si="2044"/>
        <v>0</v>
      </c>
      <c r="AT385" s="329">
        <f t="shared" si="2044"/>
        <v>0</v>
      </c>
      <c r="AU385" s="329">
        <f t="shared" si="2044"/>
        <v>0</v>
      </c>
      <c r="AV385" s="329">
        <f t="shared" si="2044"/>
        <v>0</v>
      </c>
      <c r="AW385" s="329">
        <f t="shared" si="2044"/>
        <v>0</v>
      </c>
      <c r="AX385" s="329">
        <f t="shared" si="2044"/>
        <v>0</v>
      </c>
      <c r="AY385" s="329">
        <f t="shared" si="2044"/>
        <v>0</v>
      </c>
      <c r="AZ385" s="329">
        <f t="shared" si="2044"/>
        <v>0</v>
      </c>
      <c r="BA385" s="329">
        <f t="shared" si="2044"/>
        <v>0</v>
      </c>
      <c r="BB385" s="329">
        <f t="shared" si="2044"/>
        <v>0</v>
      </c>
      <c r="BC385" s="329">
        <f t="shared" si="2044"/>
        <v>0</v>
      </c>
      <c r="BD385" s="329">
        <f t="shared" si="2044"/>
        <v>0</v>
      </c>
      <c r="BE385" s="329">
        <f t="shared" si="2044"/>
        <v>0</v>
      </c>
      <c r="BF385" s="329">
        <f t="shared" si="2044"/>
        <v>0</v>
      </c>
      <c r="BG385" s="329">
        <f t="shared" si="2044"/>
        <v>0</v>
      </c>
      <c r="BH385" s="329">
        <f t="shared" si="2044"/>
        <v>0</v>
      </c>
      <c r="BI385" s="329">
        <f t="shared" si="2044"/>
        <v>0</v>
      </c>
      <c r="BJ385" s="329">
        <f t="shared" si="2044"/>
        <v>0</v>
      </c>
      <c r="BK385" s="329">
        <f t="shared" si="2044"/>
        <v>0</v>
      </c>
      <c r="BL385" s="329">
        <f t="shared" si="2044"/>
        <v>0</v>
      </c>
      <c r="BM385" s="329">
        <f t="shared" si="2044"/>
        <v>0</v>
      </c>
      <c r="BN385" s="329">
        <f t="shared" si="2044"/>
        <v>0</v>
      </c>
      <c r="BO385" s="329">
        <f t="shared" si="2044"/>
        <v>0</v>
      </c>
      <c r="BP385" s="329">
        <f t="shared" si="2044"/>
        <v>0</v>
      </c>
      <c r="BQ385" s="329">
        <f t="shared" si="2044"/>
        <v>0</v>
      </c>
      <c r="BR385" s="329">
        <f t="shared" si="2044"/>
        <v>0</v>
      </c>
      <c r="BS385" s="329">
        <f t="shared" si="2044"/>
        <v>0</v>
      </c>
      <c r="BT385" s="329">
        <f t="shared" si="2044"/>
        <v>14347.449999999999</v>
      </c>
      <c r="BU385" s="329">
        <f t="shared" si="2044"/>
        <v>0</v>
      </c>
      <c r="BV385" s="329">
        <f t="shared" si="2044"/>
        <v>0</v>
      </c>
      <c r="BW385" s="329">
        <f t="shared" si="2044"/>
        <v>14347.449999999999</v>
      </c>
      <c r="BX385" s="6"/>
      <c r="BY385" s="6"/>
      <c r="BZ385" s="6"/>
      <c r="CA385" s="6"/>
      <c r="CB385" s="6"/>
      <c r="CC385" s="6"/>
      <c r="CD385" s="6"/>
      <c r="CE385" s="6"/>
      <c r="CF385" s="6"/>
      <c r="CG385" s="6"/>
    </row>
    <row r="386" spans="1:85" ht="15.75">
      <c r="A386" s="75"/>
      <c r="B386" s="76"/>
      <c r="C386" s="77"/>
      <c r="D386" s="78" t="s">
        <v>83</v>
      </c>
      <c r="E386" s="45">
        <f t="shared" ref="E386:H386" si="2045">SUM(E387:E390)</f>
        <v>37500</v>
      </c>
      <c r="F386" s="45">
        <f t="shared" si="2045"/>
        <v>0</v>
      </c>
      <c r="G386" s="45">
        <f t="shared" si="2045"/>
        <v>37500</v>
      </c>
      <c r="H386" s="45">
        <f t="shared" si="2045"/>
        <v>0</v>
      </c>
      <c r="I386" s="47">
        <f t="shared" si="1582"/>
        <v>0</v>
      </c>
      <c r="J386" s="47">
        <f t="shared" si="1583"/>
        <v>0</v>
      </c>
      <c r="K386" s="45">
        <f t="shared" ref="K386:W386" si="2046">SUM(K387:K390)</f>
        <v>0</v>
      </c>
      <c r="L386" s="45">
        <f t="shared" si="2046"/>
        <v>0</v>
      </c>
      <c r="M386" s="45">
        <f t="shared" si="2046"/>
        <v>0</v>
      </c>
      <c r="N386" s="45">
        <f t="shared" si="2046"/>
        <v>0</v>
      </c>
      <c r="O386" s="45">
        <f t="shared" si="2046"/>
        <v>0</v>
      </c>
      <c r="P386" s="45">
        <f t="shared" si="2046"/>
        <v>0</v>
      </c>
      <c r="Q386" s="45">
        <f t="shared" si="2046"/>
        <v>0</v>
      </c>
      <c r="R386" s="45">
        <f t="shared" si="2046"/>
        <v>0</v>
      </c>
      <c r="S386" s="45">
        <f t="shared" si="2046"/>
        <v>0</v>
      </c>
      <c r="T386" s="45">
        <f t="shared" si="2046"/>
        <v>0</v>
      </c>
      <c r="U386" s="45">
        <f t="shared" si="2046"/>
        <v>0</v>
      </c>
      <c r="V386" s="45">
        <f t="shared" si="2046"/>
        <v>0</v>
      </c>
      <c r="W386" s="45">
        <f t="shared" si="2046"/>
        <v>0</v>
      </c>
      <c r="X386" s="50">
        <f t="shared" ref="X386:Y386" si="2047">IF(O386&gt;0,O386/K386,0)</f>
        <v>0</v>
      </c>
      <c r="Y386" s="50">
        <f t="shared" si="2047"/>
        <v>0</v>
      </c>
      <c r="Z386" s="50">
        <f t="shared" si="1658"/>
        <v>0</v>
      </c>
      <c r="AA386" s="45">
        <f t="shared" ref="AA386:BW386" si="2048">SUM(AA387:AA390)</f>
        <v>0</v>
      </c>
      <c r="AB386" s="45">
        <f t="shared" si="2048"/>
        <v>0</v>
      </c>
      <c r="AC386" s="45">
        <f t="shared" si="2048"/>
        <v>0</v>
      </c>
      <c r="AD386" s="45">
        <f t="shared" si="2048"/>
        <v>0</v>
      </c>
      <c r="AE386" s="45">
        <f t="shared" si="2048"/>
        <v>0</v>
      </c>
      <c r="AF386" s="45">
        <f t="shared" si="2048"/>
        <v>0</v>
      </c>
      <c r="AG386" s="45">
        <f t="shared" si="2048"/>
        <v>0</v>
      </c>
      <c r="AH386" s="45">
        <f t="shared" si="2048"/>
        <v>0</v>
      </c>
      <c r="AI386" s="45">
        <f t="shared" si="2048"/>
        <v>0</v>
      </c>
      <c r="AJ386" s="45">
        <f t="shared" si="2048"/>
        <v>0</v>
      </c>
      <c r="AK386" s="45">
        <f t="shared" si="2048"/>
        <v>0</v>
      </c>
      <c r="AL386" s="45">
        <f t="shared" si="2048"/>
        <v>0</v>
      </c>
      <c r="AM386" s="45">
        <f t="shared" si="2048"/>
        <v>0</v>
      </c>
      <c r="AN386" s="45">
        <f t="shared" si="2048"/>
        <v>0</v>
      </c>
      <c r="AO386" s="45">
        <f t="shared" si="2048"/>
        <v>0</v>
      </c>
      <c r="AP386" s="45">
        <f t="shared" si="2048"/>
        <v>0</v>
      </c>
      <c r="AQ386" s="45">
        <f t="shared" si="2048"/>
        <v>0</v>
      </c>
      <c r="AR386" s="45">
        <f t="shared" si="2048"/>
        <v>0</v>
      </c>
      <c r="AS386" s="45">
        <f t="shared" si="2048"/>
        <v>0</v>
      </c>
      <c r="AT386" s="45">
        <f t="shared" si="2048"/>
        <v>0</v>
      </c>
      <c r="AU386" s="45">
        <f t="shared" si="2048"/>
        <v>0</v>
      </c>
      <c r="AV386" s="45">
        <f t="shared" si="2048"/>
        <v>0</v>
      </c>
      <c r="AW386" s="45">
        <f t="shared" si="2048"/>
        <v>0</v>
      </c>
      <c r="AX386" s="45">
        <f t="shared" si="2048"/>
        <v>0</v>
      </c>
      <c r="AY386" s="45">
        <f t="shared" si="2048"/>
        <v>0</v>
      </c>
      <c r="AZ386" s="45">
        <f t="shared" si="2048"/>
        <v>0</v>
      </c>
      <c r="BA386" s="45">
        <f t="shared" si="2048"/>
        <v>0</v>
      </c>
      <c r="BB386" s="45">
        <f t="shared" si="2048"/>
        <v>0</v>
      </c>
      <c r="BC386" s="45">
        <f t="shared" si="2048"/>
        <v>0</v>
      </c>
      <c r="BD386" s="45">
        <f t="shared" si="2048"/>
        <v>0</v>
      </c>
      <c r="BE386" s="45">
        <f t="shared" si="2048"/>
        <v>0</v>
      </c>
      <c r="BF386" s="45">
        <f t="shared" si="2048"/>
        <v>0</v>
      </c>
      <c r="BG386" s="45">
        <f t="shared" si="2048"/>
        <v>0</v>
      </c>
      <c r="BH386" s="45">
        <f t="shared" si="2048"/>
        <v>0</v>
      </c>
      <c r="BI386" s="45">
        <f t="shared" si="2048"/>
        <v>0</v>
      </c>
      <c r="BJ386" s="45">
        <f t="shared" si="2048"/>
        <v>0</v>
      </c>
      <c r="BK386" s="45">
        <f t="shared" si="2048"/>
        <v>0</v>
      </c>
      <c r="BL386" s="45">
        <f t="shared" si="2048"/>
        <v>0</v>
      </c>
      <c r="BM386" s="45">
        <f t="shared" si="2048"/>
        <v>0</v>
      </c>
      <c r="BN386" s="45">
        <f t="shared" si="2048"/>
        <v>0</v>
      </c>
      <c r="BO386" s="45">
        <f t="shared" si="2048"/>
        <v>0</v>
      </c>
      <c r="BP386" s="45">
        <f t="shared" si="2048"/>
        <v>0</v>
      </c>
      <c r="BQ386" s="45">
        <f t="shared" si="2048"/>
        <v>0</v>
      </c>
      <c r="BR386" s="45">
        <f t="shared" si="2048"/>
        <v>0</v>
      </c>
      <c r="BS386" s="45">
        <f t="shared" si="2048"/>
        <v>0</v>
      </c>
      <c r="BT386" s="45">
        <f t="shared" si="2048"/>
        <v>0</v>
      </c>
      <c r="BU386" s="45">
        <f t="shared" si="2048"/>
        <v>0</v>
      </c>
      <c r="BV386" s="45">
        <f t="shared" si="2048"/>
        <v>0</v>
      </c>
      <c r="BW386" s="45">
        <f t="shared" si="2048"/>
        <v>0</v>
      </c>
      <c r="BX386" s="51"/>
      <c r="BY386" s="51"/>
      <c r="BZ386" s="51"/>
      <c r="CA386" s="51"/>
      <c r="CB386" s="51"/>
      <c r="CC386" s="51"/>
      <c r="CD386" s="51"/>
      <c r="CE386" s="51"/>
      <c r="CF386" s="51"/>
      <c r="CG386" s="51"/>
    </row>
    <row r="387" spans="1:85" ht="15.75" customHeight="1">
      <c r="A387" s="54"/>
      <c r="B387" s="53"/>
      <c r="C387" s="54" t="s">
        <v>84</v>
      </c>
      <c r="D387" s="55" t="s">
        <v>499</v>
      </c>
      <c r="E387" s="56">
        <v>2500</v>
      </c>
      <c r="F387" s="99">
        <v>0</v>
      </c>
      <c r="G387" s="58">
        <f t="shared" ref="G387:G390" si="2049">E387-F387</f>
        <v>2500</v>
      </c>
      <c r="H387" s="99">
        <v>0</v>
      </c>
      <c r="I387" s="59">
        <f t="shared" si="1582"/>
        <v>0</v>
      </c>
      <c r="J387" s="59">
        <f t="shared" si="1583"/>
        <v>0</v>
      </c>
      <c r="K387" s="74">
        <v>0</v>
      </c>
      <c r="L387" s="74">
        <v>0</v>
      </c>
      <c r="M387" s="74">
        <v>0</v>
      </c>
      <c r="N387" s="74">
        <v>0</v>
      </c>
      <c r="O387" s="61">
        <f t="shared" ref="O387:Q387" si="2050">AA387+AD387+AG387+AJ387+AM387+AP387+AS387+AV387+AY387+BB387+BE387+BH387</f>
        <v>0</v>
      </c>
      <c r="P387" s="61">
        <f t="shared" si="2050"/>
        <v>0</v>
      </c>
      <c r="Q387" s="61">
        <f t="shared" si="2050"/>
        <v>0</v>
      </c>
      <c r="R387" s="61">
        <f t="shared" ref="R387:T387" si="2051">IF(BK387=0,SUM(AA387+AD387+AG387+AJ387+AM387+AP387+AS387+AV387+AY387+BB387+BE387+BH387),BK387)</f>
        <v>0</v>
      </c>
      <c r="S387" s="61">
        <f t="shared" si="2051"/>
        <v>0</v>
      </c>
      <c r="T387" s="61">
        <f t="shared" si="2051"/>
        <v>0</v>
      </c>
      <c r="U387" s="63">
        <f t="shared" ref="U387:U390" si="2052">K387-O387</f>
        <v>0</v>
      </c>
      <c r="V387" s="63">
        <f t="shared" ref="V387:V390" si="2053">L387-M387-S387</f>
        <v>0</v>
      </c>
      <c r="W387" s="63">
        <f t="shared" ref="W387:W390" si="2054">N387-Q387</f>
        <v>0</v>
      </c>
      <c r="X387" s="64">
        <f t="shared" ref="X387:Y387" si="2055">IF(O387&gt;0,O387/K387,0)</f>
        <v>0</v>
      </c>
      <c r="Y387" s="64">
        <f t="shared" si="2055"/>
        <v>0</v>
      </c>
      <c r="Z387" s="64">
        <f t="shared" si="1658"/>
        <v>0</v>
      </c>
      <c r="AA387" s="65"/>
      <c r="AB387" s="65"/>
      <c r="AC387" s="65"/>
      <c r="AD387" s="65"/>
      <c r="AE387" s="66"/>
      <c r="AF387" s="66"/>
      <c r="AG387" s="66"/>
      <c r="AH387" s="66"/>
      <c r="AI387" s="65"/>
      <c r="AJ387" s="65"/>
      <c r="AK387" s="65"/>
      <c r="AL387" s="65"/>
      <c r="AM387" s="65"/>
      <c r="AN387" s="65"/>
      <c r="AO387" s="65"/>
      <c r="AP387" s="65"/>
      <c r="AQ387" s="65"/>
      <c r="AR387" s="65"/>
      <c r="AS387" s="65"/>
      <c r="AT387" s="65"/>
      <c r="AU387" s="65"/>
      <c r="AV387" s="65"/>
      <c r="AW387" s="65"/>
      <c r="AX387" s="65"/>
      <c r="AY387" s="65"/>
      <c r="AZ387" s="65"/>
      <c r="BA387" s="65"/>
      <c r="BB387" s="65"/>
      <c r="BC387" s="65"/>
      <c r="BD387" s="65"/>
      <c r="BE387" s="65"/>
      <c r="BF387" s="65"/>
      <c r="BG387" s="65"/>
      <c r="BH387" s="65"/>
      <c r="BI387" s="65"/>
      <c r="BJ387" s="65"/>
      <c r="BK387" s="65">
        <v>0</v>
      </c>
      <c r="BL387" s="65">
        <v>0</v>
      </c>
      <c r="BM387" s="65">
        <v>0</v>
      </c>
      <c r="BN387" s="65">
        <f t="shared" ref="BN387:BN390" si="2056">IF(O387-BK387&gt;0,O387-BK387,0)</f>
        <v>0</v>
      </c>
      <c r="BO387" s="67">
        <f t="shared" ref="BO387:BO390" si="2057">IF(Q387-BM387&gt;0,Q387-BM387,0)</f>
        <v>0</v>
      </c>
      <c r="BP387" s="65">
        <f t="shared" ref="BP387:BP390" si="2058">IF(BN387+BO387&gt;0,BN387+BO387,0)</f>
        <v>0</v>
      </c>
      <c r="BQ387" s="65">
        <f t="shared" ref="BQ387:BQ390" si="2059">IF(U387=0,0,U387)</f>
        <v>0</v>
      </c>
      <c r="BR387" s="65">
        <f t="shared" ref="BR387:BR390" si="2060">IF(W387=0,0,W387)</f>
        <v>0</v>
      </c>
      <c r="BS387" s="65">
        <f t="shared" ref="BS387:BS390" si="2061">IF(BQ387+BR387&gt;0,BQ387+BR387,0)</f>
        <v>0</v>
      </c>
      <c r="BT387" s="65">
        <f t="shared" ref="BT387:BT390" si="2062">IF(V387&gt;0,V387,0)</f>
        <v>0</v>
      </c>
      <c r="BU387" s="65">
        <f t="shared" ref="BU387:BU390" si="2063">IF(BP387=0,0,BP387)</f>
        <v>0</v>
      </c>
      <c r="BV387" s="65">
        <f t="shared" ref="BV387:BV390" si="2064">IF(BS387=0,0,BS387)</f>
        <v>0</v>
      </c>
      <c r="BW387" s="65">
        <f t="shared" ref="BW387:BW390" si="2065">IF(BP387+BT387+BV387&gt;0,BP387+BT387+BV387,0)</f>
        <v>0</v>
      </c>
      <c r="BX387" s="6"/>
      <c r="BY387" s="6"/>
      <c r="BZ387" s="6"/>
      <c r="CA387" s="6"/>
      <c r="CB387" s="6"/>
      <c r="CC387" s="6"/>
      <c r="CD387" s="6"/>
      <c r="CE387" s="6"/>
      <c r="CF387" s="6"/>
      <c r="CG387" s="6"/>
    </row>
    <row r="388" spans="1:85" ht="15.75" customHeight="1">
      <c r="A388" s="68"/>
      <c r="B388" s="69"/>
      <c r="C388" s="68" t="s">
        <v>500</v>
      </c>
      <c r="D388" s="70" t="s">
        <v>501</v>
      </c>
      <c r="E388" s="56">
        <v>25000</v>
      </c>
      <c r="F388" s="99">
        <v>0</v>
      </c>
      <c r="G388" s="58">
        <f t="shared" si="2049"/>
        <v>25000</v>
      </c>
      <c r="H388" s="99">
        <v>0</v>
      </c>
      <c r="I388" s="59">
        <f t="shared" si="1582"/>
        <v>0</v>
      </c>
      <c r="J388" s="59">
        <f t="shared" si="1583"/>
        <v>0</v>
      </c>
      <c r="K388" s="74">
        <v>0</v>
      </c>
      <c r="L388" s="74">
        <v>0</v>
      </c>
      <c r="M388" s="74">
        <v>0</v>
      </c>
      <c r="N388" s="74">
        <v>0</v>
      </c>
      <c r="O388" s="61">
        <f t="shared" ref="O388:Q388" si="2066">AA388+AD388+AG388+AJ388+AM388+AP388+AS388+AV388+AY388+BB388+BE388+BH388</f>
        <v>0</v>
      </c>
      <c r="P388" s="61">
        <f t="shared" si="2066"/>
        <v>0</v>
      </c>
      <c r="Q388" s="61">
        <f t="shared" si="2066"/>
        <v>0</v>
      </c>
      <c r="R388" s="61">
        <f t="shared" ref="R388:T388" si="2067">IF(BK388=0,SUM(AA388+AD388+AG388+AJ388+AM388+AP388+AS388+AV388+AY388+BB388+BE388+BH388),BK388)</f>
        <v>0</v>
      </c>
      <c r="S388" s="61">
        <f t="shared" si="2067"/>
        <v>0</v>
      </c>
      <c r="T388" s="61">
        <f t="shared" si="2067"/>
        <v>0</v>
      </c>
      <c r="U388" s="63">
        <f t="shared" si="2052"/>
        <v>0</v>
      </c>
      <c r="V388" s="63">
        <f t="shared" si="2053"/>
        <v>0</v>
      </c>
      <c r="W388" s="63">
        <f t="shared" si="2054"/>
        <v>0</v>
      </c>
      <c r="X388" s="64">
        <f t="shared" ref="X388:Y388" si="2068">IF(O388&gt;0,O388/K388,0)</f>
        <v>0</v>
      </c>
      <c r="Y388" s="64">
        <f t="shared" si="2068"/>
        <v>0</v>
      </c>
      <c r="Z388" s="64">
        <f t="shared" si="1658"/>
        <v>0</v>
      </c>
      <c r="AA388" s="65"/>
      <c r="AB388" s="65"/>
      <c r="AC388" s="65"/>
      <c r="AD388" s="65"/>
      <c r="AE388" s="66"/>
      <c r="AF388" s="66"/>
      <c r="AG388" s="66"/>
      <c r="AH388" s="66"/>
      <c r="AI388" s="65"/>
      <c r="AJ388" s="65"/>
      <c r="AK388" s="65"/>
      <c r="AL388" s="65"/>
      <c r="AM388" s="65"/>
      <c r="AN388" s="65"/>
      <c r="AO388" s="65"/>
      <c r="AP388" s="65"/>
      <c r="AQ388" s="65"/>
      <c r="AR388" s="65"/>
      <c r="AS388" s="65"/>
      <c r="AT388" s="65"/>
      <c r="AU388" s="65"/>
      <c r="AV388" s="65"/>
      <c r="AW388" s="65"/>
      <c r="AX388" s="65"/>
      <c r="AY388" s="65"/>
      <c r="AZ388" s="65"/>
      <c r="BA388" s="65"/>
      <c r="BB388" s="65"/>
      <c r="BC388" s="65"/>
      <c r="BD388" s="65"/>
      <c r="BE388" s="65"/>
      <c r="BF388" s="65"/>
      <c r="BG388" s="65"/>
      <c r="BH388" s="65"/>
      <c r="BI388" s="65"/>
      <c r="BJ388" s="65"/>
      <c r="BK388" s="65">
        <v>0</v>
      </c>
      <c r="BL388" s="65">
        <v>0</v>
      </c>
      <c r="BM388" s="65">
        <v>0</v>
      </c>
      <c r="BN388" s="65">
        <f t="shared" si="2056"/>
        <v>0</v>
      </c>
      <c r="BO388" s="67">
        <f t="shared" si="2057"/>
        <v>0</v>
      </c>
      <c r="BP388" s="65">
        <f t="shared" si="2058"/>
        <v>0</v>
      </c>
      <c r="BQ388" s="65">
        <f t="shared" si="2059"/>
        <v>0</v>
      </c>
      <c r="BR388" s="65">
        <f t="shared" si="2060"/>
        <v>0</v>
      </c>
      <c r="BS388" s="65">
        <f t="shared" si="2061"/>
        <v>0</v>
      </c>
      <c r="BT388" s="65">
        <f t="shared" si="2062"/>
        <v>0</v>
      </c>
      <c r="BU388" s="65">
        <f t="shared" si="2063"/>
        <v>0</v>
      </c>
      <c r="BV388" s="65">
        <f t="shared" si="2064"/>
        <v>0</v>
      </c>
      <c r="BW388" s="65">
        <f t="shared" si="2065"/>
        <v>0</v>
      </c>
      <c r="BX388" s="6"/>
      <c r="BY388" s="6"/>
      <c r="BZ388" s="6"/>
      <c r="CA388" s="6"/>
      <c r="CB388" s="6"/>
      <c r="CC388" s="6"/>
      <c r="CD388" s="6"/>
      <c r="CE388" s="6"/>
      <c r="CF388" s="6"/>
      <c r="CG388" s="6"/>
    </row>
    <row r="389" spans="1:85" ht="15.75" customHeight="1">
      <c r="A389" s="68"/>
      <c r="B389" s="69"/>
      <c r="C389" s="68" t="s">
        <v>502</v>
      </c>
      <c r="D389" s="70" t="s">
        <v>503</v>
      </c>
      <c r="E389" s="56">
        <v>5000</v>
      </c>
      <c r="F389" s="99">
        <v>0</v>
      </c>
      <c r="G389" s="58">
        <f t="shared" si="2049"/>
        <v>5000</v>
      </c>
      <c r="H389" s="99">
        <v>0</v>
      </c>
      <c r="I389" s="59">
        <f t="shared" si="1582"/>
        <v>0</v>
      </c>
      <c r="J389" s="59">
        <f t="shared" si="1583"/>
        <v>0</v>
      </c>
      <c r="K389" s="74">
        <v>0</v>
      </c>
      <c r="L389" s="74">
        <v>0</v>
      </c>
      <c r="M389" s="74">
        <v>0</v>
      </c>
      <c r="N389" s="74">
        <v>0</v>
      </c>
      <c r="O389" s="61">
        <f t="shared" ref="O389:Q389" si="2069">AA389+AD389+AG389+AJ389+AM389+AP389+AS389+AV389+AY389+BB389+BE389+BH389</f>
        <v>0</v>
      </c>
      <c r="P389" s="61">
        <f t="shared" si="2069"/>
        <v>0</v>
      </c>
      <c r="Q389" s="61">
        <f t="shared" si="2069"/>
        <v>0</v>
      </c>
      <c r="R389" s="61">
        <f t="shared" ref="R389:T389" si="2070">IF(BK389=0,SUM(AA389+AD389+AG389+AJ389+AM389+AP389+AS389+AV389+AY389+BB389+BE389+BH389),BK389)</f>
        <v>0</v>
      </c>
      <c r="S389" s="61">
        <f t="shared" si="2070"/>
        <v>0</v>
      </c>
      <c r="T389" s="61">
        <f t="shared" si="2070"/>
        <v>0</v>
      </c>
      <c r="U389" s="63">
        <f t="shared" si="2052"/>
        <v>0</v>
      </c>
      <c r="V389" s="63">
        <f t="shared" si="2053"/>
        <v>0</v>
      </c>
      <c r="W389" s="63">
        <f t="shared" si="2054"/>
        <v>0</v>
      </c>
      <c r="X389" s="64">
        <f t="shared" ref="X389:Y389" si="2071">IF(O389&gt;0,O389/K389,0)</f>
        <v>0</v>
      </c>
      <c r="Y389" s="64">
        <f t="shared" si="2071"/>
        <v>0</v>
      </c>
      <c r="Z389" s="64">
        <f t="shared" si="1658"/>
        <v>0</v>
      </c>
      <c r="AA389" s="65"/>
      <c r="AB389" s="65"/>
      <c r="AC389" s="65"/>
      <c r="AD389" s="65"/>
      <c r="AE389" s="66"/>
      <c r="AF389" s="66"/>
      <c r="AG389" s="66"/>
      <c r="AH389" s="66"/>
      <c r="AI389" s="65"/>
      <c r="AJ389" s="65"/>
      <c r="AK389" s="65"/>
      <c r="AL389" s="65"/>
      <c r="AM389" s="65"/>
      <c r="AN389" s="65"/>
      <c r="AO389" s="65"/>
      <c r="AP389" s="65"/>
      <c r="AQ389" s="65"/>
      <c r="AR389" s="65"/>
      <c r="AS389" s="65"/>
      <c r="AT389" s="65"/>
      <c r="AU389" s="65"/>
      <c r="AV389" s="65"/>
      <c r="AW389" s="65"/>
      <c r="AX389" s="65"/>
      <c r="AY389" s="65"/>
      <c r="AZ389" s="65"/>
      <c r="BA389" s="65"/>
      <c r="BB389" s="65"/>
      <c r="BC389" s="65"/>
      <c r="BD389" s="65"/>
      <c r="BE389" s="65"/>
      <c r="BF389" s="65"/>
      <c r="BG389" s="65"/>
      <c r="BH389" s="65"/>
      <c r="BI389" s="65"/>
      <c r="BJ389" s="65"/>
      <c r="BK389" s="65">
        <v>0</v>
      </c>
      <c r="BL389" s="65">
        <v>0</v>
      </c>
      <c r="BM389" s="65">
        <v>0</v>
      </c>
      <c r="BN389" s="65">
        <f t="shared" si="2056"/>
        <v>0</v>
      </c>
      <c r="BO389" s="67">
        <f t="shared" si="2057"/>
        <v>0</v>
      </c>
      <c r="BP389" s="65">
        <f t="shared" si="2058"/>
        <v>0</v>
      </c>
      <c r="BQ389" s="65">
        <f t="shared" si="2059"/>
        <v>0</v>
      </c>
      <c r="BR389" s="65">
        <f t="shared" si="2060"/>
        <v>0</v>
      </c>
      <c r="BS389" s="65">
        <f t="shared" si="2061"/>
        <v>0</v>
      </c>
      <c r="BT389" s="65">
        <f t="shared" si="2062"/>
        <v>0</v>
      </c>
      <c r="BU389" s="65">
        <f t="shared" si="2063"/>
        <v>0</v>
      </c>
      <c r="BV389" s="65">
        <f t="shared" si="2064"/>
        <v>0</v>
      </c>
      <c r="BW389" s="65">
        <f t="shared" si="2065"/>
        <v>0</v>
      </c>
      <c r="BX389" s="6"/>
      <c r="BY389" s="6"/>
      <c r="BZ389" s="6"/>
      <c r="CA389" s="6"/>
      <c r="CB389" s="6"/>
      <c r="CC389" s="6"/>
      <c r="CD389" s="6"/>
      <c r="CE389" s="6"/>
      <c r="CF389" s="6"/>
      <c r="CG389" s="6"/>
    </row>
    <row r="390" spans="1:85" ht="15.75" customHeight="1">
      <c r="A390" s="68"/>
      <c r="B390" s="69"/>
      <c r="C390" s="68" t="s">
        <v>504</v>
      </c>
      <c r="D390" s="70" t="s">
        <v>505</v>
      </c>
      <c r="E390" s="56">
        <v>5000</v>
      </c>
      <c r="F390" s="99">
        <v>0</v>
      </c>
      <c r="G390" s="58">
        <f t="shared" si="2049"/>
        <v>5000</v>
      </c>
      <c r="H390" s="99">
        <v>0</v>
      </c>
      <c r="I390" s="59">
        <f t="shared" si="1582"/>
        <v>0</v>
      </c>
      <c r="J390" s="59">
        <f t="shared" si="1583"/>
        <v>0</v>
      </c>
      <c r="K390" s="74">
        <v>0</v>
      </c>
      <c r="L390" s="74">
        <v>0</v>
      </c>
      <c r="M390" s="74">
        <v>0</v>
      </c>
      <c r="N390" s="74">
        <v>0</v>
      </c>
      <c r="O390" s="61">
        <f t="shared" ref="O390:Q390" si="2072">AA390+AD390+AG390+AJ390+AM390+AP390+AS390+AV390+AY390+BB390+BE390+BH390</f>
        <v>0</v>
      </c>
      <c r="P390" s="61">
        <f t="shared" si="2072"/>
        <v>0</v>
      </c>
      <c r="Q390" s="61">
        <f t="shared" si="2072"/>
        <v>0</v>
      </c>
      <c r="R390" s="61">
        <f t="shared" ref="R390:T390" si="2073">IF(BK390=0,SUM(AA390+AD390+AG390+AJ390+AM390+AP390+AS390+AV390+AY390+BB390+BE390+BH390),BK390)</f>
        <v>0</v>
      </c>
      <c r="S390" s="61">
        <f t="shared" si="2073"/>
        <v>0</v>
      </c>
      <c r="T390" s="61">
        <f t="shared" si="2073"/>
        <v>0</v>
      </c>
      <c r="U390" s="63">
        <f t="shared" si="2052"/>
        <v>0</v>
      </c>
      <c r="V390" s="63">
        <f t="shared" si="2053"/>
        <v>0</v>
      </c>
      <c r="W390" s="63">
        <f t="shared" si="2054"/>
        <v>0</v>
      </c>
      <c r="X390" s="64">
        <f t="shared" ref="X390:Y390" si="2074">IF(O390&gt;0,O390/K390,0)</f>
        <v>0</v>
      </c>
      <c r="Y390" s="64">
        <f t="shared" si="2074"/>
        <v>0</v>
      </c>
      <c r="Z390" s="64">
        <f t="shared" si="1658"/>
        <v>0</v>
      </c>
      <c r="AA390" s="65"/>
      <c r="AB390" s="65"/>
      <c r="AC390" s="65"/>
      <c r="AD390" s="65"/>
      <c r="AE390" s="66"/>
      <c r="AF390" s="66"/>
      <c r="AG390" s="66"/>
      <c r="AH390" s="66"/>
      <c r="AI390" s="65"/>
      <c r="AJ390" s="65"/>
      <c r="AK390" s="65"/>
      <c r="AL390" s="65"/>
      <c r="AM390" s="65"/>
      <c r="AN390" s="65"/>
      <c r="AO390" s="65"/>
      <c r="AP390" s="65"/>
      <c r="AQ390" s="65"/>
      <c r="AR390" s="65"/>
      <c r="AS390" s="65"/>
      <c r="AT390" s="65"/>
      <c r="AU390" s="65"/>
      <c r="AV390" s="65"/>
      <c r="AW390" s="65"/>
      <c r="AX390" s="65"/>
      <c r="AY390" s="65"/>
      <c r="AZ390" s="65"/>
      <c r="BA390" s="65"/>
      <c r="BB390" s="65"/>
      <c r="BC390" s="65"/>
      <c r="BD390" s="65"/>
      <c r="BE390" s="65"/>
      <c r="BF390" s="65"/>
      <c r="BG390" s="65"/>
      <c r="BH390" s="65"/>
      <c r="BI390" s="65"/>
      <c r="BJ390" s="65"/>
      <c r="BK390" s="65">
        <v>0</v>
      </c>
      <c r="BL390" s="65">
        <v>0</v>
      </c>
      <c r="BM390" s="65">
        <v>0</v>
      </c>
      <c r="BN390" s="65">
        <f t="shared" si="2056"/>
        <v>0</v>
      </c>
      <c r="BO390" s="67">
        <f t="shared" si="2057"/>
        <v>0</v>
      </c>
      <c r="BP390" s="65">
        <f t="shared" si="2058"/>
        <v>0</v>
      </c>
      <c r="BQ390" s="65">
        <f t="shared" si="2059"/>
        <v>0</v>
      </c>
      <c r="BR390" s="65">
        <f t="shared" si="2060"/>
        <v>0</v>
      </c>
      <c r="BS390" s="65">
        <f t="shared" si="2061"/>
        <v>0</v>
      </c>
      <c r="BT390" s="65">
        <f t="shared" si="2062"/>
        <v>0</v>
      </c>
      <c r="BU390" s="65">
        <f t="shared" si="2063"/>
        <v>0</v>
      </c>
      <c r="BV390" s="65">
        <f t="shared" si="2064"/>
        <v>0</v>
      </c>
      <c r="BW390" s="65">
        <f t="shared" si="2065"/>
        <v>0</v>
      </c>
      <c r="BX390" s="6"/>
      <c r="BY390" s="6"/>
      <c r="BZ390" s="6"/>
      <c r="CA390" s="6"/>
      <c r="CB390" s="6"/>
      <c r="CC390" s="6"/>
      <c r="CD390" s="6"/>
      <c r="CE390" s="6"/>
      <c r="CF390" s="6"/>
      <c r="CG390" s="6"/>
    </row>
    <row r="391" spans="1:85" ht="15.75" customHeight="1">
      <c r="A391" s="260"/>
      <c r="B391" s="261"/>
      <c r="C391" s="262"/>
      <c r="D391" s="78" t="s">
        <v>137</v>
      </c>
      <c r="E391" s="45">
        <f t="shared" ref="E391:H391" si="2075">E392+E393</f>
        <v>113400</v>
      </c>
      <c r="F391" s="45">
        <f t="shared" si="2075"/>
        <v>0</v>
      </c>
      <c r="G391" s="45">
        <f t="shared" si="2075"/>
        <v>113400</v>
      </c>
      <c r="H391" s="45">
        <f t="shared" si="2075"/>
        <v>0</v>
      </c>
      <c r="I391" s="47">
        <f t="shared" si="1582"/>
        <v>0</v>
      </c>
      <c r="J391" s="47">
        <f t="shared" si="1583"/>
        <v>0</v>
      </c>
      <c r="K391" s="45">
        <f t="shared" ref="K391:W391" si="2076">K392+K393</f>
        <v>0</v>
      </c>
      <c r="L391" s="45">
        <f t="shared" si="2076"/>
        <v>0</v>
      </c>
      <c r="M391" s="45">
        <f t="shared" si="2076"/>
        <v>0</v>
      </c>
      <c r="N391" s="45">
        <f t="shared" si="2076"/>
        <v>0</v>
      </c>
      <c r="O391" s="45">
        <f t="shared" si="2076"/>
        <v>0</v>
      </c>
      <c r="P391" s="45">
        <f t="shared" si="2076"/>
        <v>0</v>
      </c>
      <c r="Q391" s="45">
        <f t="shared" si="2076"/>
        <v>0</v>
      </c>
      <c r="R391" s="45">
        <f t="shared" si="2076"/>
        <v>0</v>
      </c>
      <c r="S391" s="45">
        <f t="shared" si="2076"/>
        <v>0</v>
      </c>
      <c r="T391" s="45">
        <f t="shared" si="2076"/>
        <v>0</v>
      </c>
      <c r="U391" s="45">
        <f t="shared" si="2076"/>
        <v>0</v>
      </c>
      <c r="V391" s="45">
        <f t="shared" si="2076"/>
        <v>0</v>
      </c>
      <c r="W391" s="45">
        <f t="shared" si="2076"/>
        <v>0</v>
      </c>
      <c r="X391" s="50">
        <f t="shared" ref="X391:Y391" si="2077">IF(O391&gt;0,O391/K391,0)</f>
        <v>0</v>
      </c>
      <c r="Y391" s="50">
        <f t="shared" si="2077"/>
        <v>0</v>
      </c>
      <c r="Z391" s="50">
        <f t="shared" si="1658"/>
        <v>0</v>
      </c>
      <c r="AA391" s="45">
        <f t="shared" ref="AA391:BW391" si="2078">AA392+AA393</f>
        <v>0</v>
      </c>
      <c r="AB391" s="45">
        <f t="shared" si="2078"/>
        <v>0</v>
      </c>
      <c r="AC391" s="45">
        <f t="shared" si="2078"/>
        <v>0</v>
      </c>
      <c r="AD391" s="45">
        <f t="shared" si="2078"/>
        <v>0</v>
      </c>
      <c r="AE391" s="45">
        <f t="shared" si="2078"/>
        <v>0</v>
      </c>
      <c r="AF391" s="45">
        <f t="shared" si="2078"/>
        <v>0</v>
      </c>
      <c r="AG391" s="45">
        <f t="shared" si="2078"/>
        <v>0</v>
      </c>
      <c r="AH391" s="45">
        <f t="shared" si="2078"/>
        <v>0</v>
      </c>
      <c r="AI391" s="45">
        <f t="shared" si="2078"/>
        <v>0</v>
      </c>
      <c r="AJ391" s="45">
        <f t="shared" si="2078"/>
        <v>0</v>
      </c>
      <c r="AK391" s="45">
        <f t="shared" si="2078"/>
        <v>0</v>
      </c>
      <c r="AL391" s="45">
        <f t="shared" si="2078"/>
        <v>0</v>
      </c>
      <c r="AM391" s="45">
        <f t="shared" si="2078"/>
        <v>0</v>
      </c>
      <c r="AN391" s="45">
        <f t="shared" si="2078"/>
        <v>0</v>
      </c>
      <c r="AO391" s="45">
        <f t="shared" si="2078"/>
        <v>0</v>
      </c>
      <c r="AP391" s="45">
        <f t="shared" si="2078"/>
        <v>0</v>
      </c>
      <c r="AQ391" s="45">
        <f t="shared" si="2078"/>
        <v>0</v>
      </c>
      <c r="AR391" s="45">
        <f t="shared" si="2078"/>
        <v>0</v>
      </c>
      <c r="AS391" s="45">
        <f t="shared" si="2078"/>
        <v>0</v>
      </c>
      <c r="AT391" s="45">
        <f t="shared" si="2078"/>
        <v>0</v>
      </c>
      <c r="AU391" s="45">
        <f t="shared" si="2078"/>
        <v>0</v>
      </c>
      <c r="AV391" s="45">
        <f t="shared" si="2078"/>
        <v>0</v>
      </c>
      <c r="AW391" s="45">
        <f t="shared" si="2078"/>
        <v>0</v>
      </c>
      <c r="AX391" s="45">
        <f t="shared" si="2078"/>
        <v>0</v>
      </c>
      <c r="AY391" s="45">
        <f t="shared" si="2078"/>
        <v>0</v>
      </c>
      <c r="AZ391" s="45">
        <f t="shared" si="2078"/>
        <v>0</v>
      </c>
      <c r="BA391" s="45">
        <f t="shared" si="2078"/>
        <v>0</v>
      </c>
      <c r="BB391" s="45">
        <f t="shared" si="2078"/>
        <v>0</v>
      </c>
      <c r="BC391" s="45">
        <f t="shared" si="2078"/>
        <v>0</v>
      </c>
      <c r="BD391" s="45">
        <f t="shared" si="2078"/>
        <v>0</v>
      </c>
      <c r="BE391" s="45">
        <f t="shared" si="2078"/>
        <v>0</v>
      </c>
      <c r="BF391" s="45">
        <f t="shared" si="2078"/>
        <v>0</v>
      </c>
      <c r="BG391" s="45">
        <f t="shared" si="2078"/>
        <v>0</v>
      </c>
      <c r="BH391" s="45">
        <f t="shared" si="2078"/>
        <v>0</v>
      </c>
      <c r="BI391" s="45">
        <f t="shared" si="2078"/>
        <v>0</v>
      </c>
      <c r="BJ391" s="45">
        <f t="shared" si="2078"/>
        <v>0</v>
      </c>
      <c r="BK391" s="45">
        <f t="shared" si="2078"/>
        <v>0</v>
      </c>
      <c r="BL391" s="45">
        <f t="shared" si="2078"/>
        <v>0</v>
      </c>
      <c r="BM391" s="45">
        <f t="shared" si="2078"/>
        <v>0</v>
      </c>
      <c r="BN391" s="45">
        <f t="shared" si="2078"/>
        <v>0</v>
      </c>
      <c r="BO391" s="45">
        <f t="shared" si="2078"/>
        <v>0</v>
      </c>
      <c r="BP391" s="45">
        <f t="shared" si="2078"/>
        <v>0</v>
      </c>
      <c r="BQ391" s="45">
        <f t="shared" si="2078"/>
        <v>0</v>
      </c>
      <c r="BR391" s="45">
        <f t="shared" si="2078"/>
        <v>0</v>
      </c>
      <c r="BS391" s="45">
        <f t="shared" si="2078"/>
        <v>0</v>
      </c>
      <c r="BT391" s="45">
        <f t="shared" si="2078"/>
        <v>0</v>
      </c>
      <c r="BU391" s="45">
        <f t="shared" si="2078"/>
        <v>0</v>
      </c>
      <c r="BV391" s="45">
        <f t="shared" si="2078"/>
        <v>0</v>
      </c>
      <c r="BW391" s="45">
        <f t="shared" si="2078"/>
        <v>0</v>
      </c>
      <c r="BX391" s="6"/>
      <c r="BY391" s="6"/>
      <c r="BZ391" s="6"/>
      <c r="CA391" s="6"/>
      <c r="CB391" s="6"/>
      <c r="CC391" s="6"/>
      <c r="CD391" s="6"/>
      <c r="CE391" s="6"/>
      <c r="CF391" s="6"/>
      <c r="CG391" s="6"/>
    </row>
    <row r="392" spans="1:85" ht="15.75" customHeight="1">
      <c r="A392" s="68"/>
      <c r="B392" s="69"/>
      <c r="C392" s="68" t="s">
        <v>138</v>
      </c>
      <c r="D392" s="122" t="s">
        <v>506</v>
      </c>
      <c r="E392" s="99">
        <v>0</v>
      </c>
      <c r="F392" s="99">
        <v>0</v>
      </c>
      <c r="G392" s="58">
        <f t="shared" ref="G392:G393" si="2079">E392-F392</f>
        <v>0</v>
      </c>
      <c r="H392" s="99">
        <v>0</v>
      </c>
      <c r="I392" s="340">
        <f t="shared" si="1582"/>
        <v>0</v>
      </c>
      <c r="J392" s="59">
        <f t="shared" si="1583"/>
        <v>0</v>
      </c>
      <c r="K392" s="74">
        <v>0</v>
      </c>
      <c r="L392" s="74">
        <v>0</v>
      </c>
      <c r="M392" s="74">
        <v>0</v>
      </c>
      <c r="N392" s="74">
        <v>0</v>
      </c>
      <c r="O392" s="61">
        <f t="shared" ref="O392:Q392" si="2080">AA392+AD392+AG392+AJ392+AM392+AP392+AS392+AV392+AY392+BB392+BE392+BH392</f>
        <v>0</v>
      </c>
      <c r="P392" s="61">
        <f t="shared" si="2080"/>
        <v>0</v>
      </c>
      <c r="Q392" s="61">
        <f t="shared" si="2080"/>
        <v>0</v>
      </c>
      <c r="R392" s="61">
        <f t="shared" ref="R392:T392" si="2081">IF(BK392=0,SUM(AA392+AD392+AG392+AJ392+AM392+AP392+AS392+AV392+AY392+BB392+BE392+BH392),BK392)</f>
        <v>0</v>
      </c>
      <c r="S392" s="61">
        <f t="shared" si="2081"/>
        <v>0</v>
      </c>
      <c r="T392" s="61">
        <f t="shared" si="2081"/>
        <v>0</v>
      </c>
      <c r="U392" s="63">
        <f t="shared" ref="U392:U393" si="2082">K392-O392</f>
        <v>0</v>
      </c>
      <c r="V392" s="63">
        <f t="shared" ref="V392:V393" si="2083">L392-M392-S392</f>
        <v>0</v>
      </c>
      <c r="W392" s="63">
        <f t="shared" ref="W392:W393" si="2084">N392-Q392</f>
        <v>0</v>
      </c>
      <c r="X392" s="64">
        <f t="shared" ref="X392:Y392" si="2085">IF(O392&gt;0,O392/K392,0)</f>
        <v>0</v>
      </c>
      <c r="Y392" s="64">
        <f t="shared" si="2085"/>
        <v>0</v>
      </c>
      <c r="Z392" s="64">
        <f t="shared" si="1658"/>
        <v>0</v>
      </c>
      <c r="AA392" s="65"/>
      <c r="AB392" s="65"/>
      <c r="AC392" s="65"/>
      <c r="AD392" s="65"/>
      <c r="AE392" s="66"/>
      <c r="AF392" s="66"/>
      <c r="AG392" s="66"/>
      <c r="AH392" s="66"/>
      <c r="AI392" s="65"/>
      <c r="AJ392" s="65"/>
      <c r="AK392" s="65"/>
      <c r="AL392" s="65"/>
      <c r="AM392" s="65"/>
      <c r="AN392" s="65"/>
      <c r="AO392" s="65"/>
      <c r="AP392" s="65"/>
      <c r="AQ392" s="65"/>
      <c r="AR392" s="65"/>
      <c r="AS392" s="65"/>
      <c r="AT392" s="65"/>
      <c r="AU392" s="65"/>
      <c r="AV392" s="65"/>
      <c r="AW392" s="65"/>
      <c r="AX392" s="65"/>
      <c r="AY392" s="65"/>
      <c r="AZ392" s="65"/>
      <c r="BA392" s="65"/>
      <c r="BB392" s="65"/>
      <c r="BC392" s="65"/>
      <c r="BD392" s="65"/>
      <c r="BE392" s="65"/>
      <c r="BF392" s="65"/>
      <c r="BG392" s="65"/>
      <c r="BH392" s="65"/>
      <c r="BI392" s="65"/>
      <c r="BJ392" s="65"/>
      <c r="BK392" s="65">
        <v>0</v>
      </c>
      <c r="BL392" s="65">
        <v>0</v>
      </c>
      <c r="BM392" s="65">
        <v>0</v>
      </c>
      <c r="BN392" s="65">
        <f t="shared" ref="BN392:BN393" si="2086">IF(O392-BK392&gt;0,O392-BK392,0)</f>
        <v>0</v>
      </c>
      <c r="BO392" s="67">
        <f t="shared" ref="BO392:BO393" si="2087">IF(Q392-BM392&gt;0,Q392-BM392,0)</f>
        <v>0</v>
      </c>
      <c r="BP392" s="65">
        <f t="shared" ref="BP392:BP393" si="2088">IF(BN392+BO392&gt;0,BN392+BO392,0)</f>
        <v>0</v>
      </c>
      <c r="BQ392" s="65">
        <f t="shared" ref="BQ392:BQ393" si="2089">IF(U392=0,0,U392)</f>
        <v>0</v>
      </c>
      <c r="BR392" s="65">
        <f t="shared" ref="BR392:BR393" si="2090">IF(W392=0,0,W392)</f>
        <v>0</v>
      </c>
      <c r="BS392" s="65">
        <f t="shared" ref="BS392:BS393" si="2091">IF(BQ392+BR392&gt;0,BQ392+BR392,0)</f>
        <v>0</v>
      </c>
      <c r="BT392" s="65">
        <f t="shared" ref="BT392:BT393" si="2092">IF(V392&gt;0,V392,0)</f>
        <v>0</v>
      </c>
      <c r="BU392" s="65">
        <f t="shared" ref="BU392:BU393" si="2093">IF(BP392=0,0,BP392)</f>
        <v>0</v>
      </c>
      <c r="BV392" s="65">
        <f t="shared" ref="BV392:BV393" si="2094">IF(BS392=0,0,BS392)</f>
        <v>0</v>
      </c>
      <c r="BW392" s="65">
        <f t="shared" ref="BW392:BW393" si="2095">IF(BP392+BT392+BV392&gt;0,BP392+BT392+BV392,0)</f>
        <v>0</v>
      </c>
      <c r="BX392" s="6"/>
      <c r="BY392" s="6"/>
      <c r="BZ392" s="6"/>
      <c r="CA392" s="6"/>
      <c r="CB392" s="6"/>
      <c r="CC392" s="6"/>
      <c r="CD392" s="6"/>
      <c r="CE392" s="6"/>
      <c r="CF392" s="6"/>
      <c r="CG392" s="6"/>
    </row>
    <row r="393" spans="1:85" ht="15.75" customHeight="1">
      <c r="A393" s="196"/>
      <c r="B393" s="69"/>
      <c r="C393" s="68" t="s">
        <v>163</v>
      </c>
      <c r="D393" s="70" t="s">
        <v>507</v>
      </c>
      <c r="E393" s="56">
        <f>120000-6600</f>
        <v>113400</v>
      </c>
      <c r="F393" s="99">
        <v>0</v>
      </c>
      <c r="G393" s="58">
        <f t="shared" si="2079"/>
        <v>113400</v>
      </c>
      <c r="H393" s="57">
        <v>0</v>
      </c>
      <c r="I393" s="59">
        <f t="shared" si="1582"/>
        <v>0</v>
      </c>
      <c r="J393" s="59">
        <f t="shared" si="1583"/>
        <v>0</v>
      </c>
      <c r="K393" s="74">
        <v>0</v>
      </c>
      <c r="L393" s="74">
        <v>0</v>
      </c>
      <c r="M393" s="74">
        <v>0</v>
      </c>
      <c r="N393" s="74">
        <v>0</v>
      </c>
      <c r="O393" s="61">
        <f t="shared" ref="O393:Q393" si="2096">AA393+AD393+AG393+AJ393+AM393+AP393+AS393+AV393+AY393+BB393+BE393+BH393</f>
        <v>0</v>
      </c>
      <c r="P393" s="61">
        <f t="shared" si="2096"/>
        <v>0</v>
      </c>
      <c r="Q393" s="61">
        <f t="shared" si="2096"/>
        <v>0</v>
      </c>
      <c r="R393" s="61">
        <f t="shared" ref="R393:T393" si="2097">IF(BK393=0,SUM(AA393+AD393+AG393+AJ393+AM393+AP393+AS393+AV393+AY393+BB393+BE393+BH393),BK393)</f>
        <v>0</v>
      </c>
      <c r="S393" s="61">
        <f t="shared" si="2097"/>
        <v>0</v>
      </c>
      <c r="T393" s="61">
        <f t="shared" si="2097"/>
        <v>0</v>
      </c>
      <c r="U393" s="63">
        <f t="shared" si="2082"/>
        <v>0</v>
      </c>
      <c r="V393" s="63">
        <f t="shared" si="2083"/>
        <v>0</v>
      </c>
      <c r="W393" s="208">
        <f t="shared" si="2084"/>
        <v>0</v>
      </c>
      <c r="X393" s="64">
        <f t="shared" ref="X393:Y393" si="2098">IF(O393&gt;0,O393/K393,0)</f>
        <v>0</v>
      </c>
      <c r="Y393" s="64">
        <f t="shared" si="2098"/>
        <v>0</v>
      </c>
      <c r="Z393" s="64">
        <f t="shared" si="1658"/>
        <v>0</v>
      </c>
      <c r="AA393" s="65"/>
      <c r="AB393" s="65"/>
      <c r="AC393" s="65"/>
      <c r="AD393" s="65"/>
      <c r="AE393" s="66"/>
      <c r="AF393" s="66"/>
      <c r="AG393" s="66"/>
      <c r="AH393" s="66"/>
      <c r="AI393" s="65"/>
      <c r="AJ393" s="65"/>
      <c r="AK393" s="65"/>
      <c r="AL393" s="65"/>
      <c r="AM393" s="65"/>
      <c r="AN393" s="65"/>
      <c r="AO393" s="65"/>
      <c r="AP393" s="65"/>
      <c r="AQ393" s="65"/>
      <c r="AR393" s="65"/>
      <c r="AS393" s="65"/>
      <c r="AT393" s="65"/>
      <c r="AU393" s="65"/>
      <c r="AV393" s="65"/>
      <c r="AW393" s="65"/>
      <c r="AX393" s="65"/>
      <c r="AY393" s="65"/>
      <c r="AZ393" s="65"/>
      <c r="BA393" s="65"/>
      <c r="BB393" s="65"/>
      <c r="BC393" s="65"/>
      <c r="BD393" s="65"/>
      <c r="BE393" s="65"/>
      <c r="BF393" s="65"/>
      <c r="BG393" s="65"/>
      <c r="BH393" s="65"/>
      <c r="BI393" s="65"/>
      <c r="BJ393" s="65"/>
      <c r="BK393" s="65">
        <v>0</v>
      </c>
      <c r="BL393" s="65">
        <v>0</v>
      </c>
      <c r="BM393" s="65">
        <v>0</v>
      </c>
      <c r="BN393" s="65">
        <f t="shared" si="2086"/>
        <v>0</v>
      </c>
      <c r="BO393" s="67">
        <f t="shared" si="2087"/>
        <v>0</v>
      </c>
      <c r="BP393" s="65">
        <f t="shared" si="2088"/>
        <v>0</v>
      </c>
      <c r="BQ393" s="65">
        <f t="shared" si="2089"/>
        <v>0</v>
      </c>
      <c r="BR393" s="65">
        <f t="shared" si="2090"/>
        <v>0</v>
      </c>
      <c r="BS393" s="65">
        <f t="shared" si="2091"/>
        <v>0</v>
      </c>
      <c r="BT393" s="65">
        <f t="shared" si="2092"/>
        <v>0</v>
      </c>
      <c r="BU393" s="65">
        <f t="shared" si="2093"/>
        <v>0</v>
      </c>
      <c r="BV393" s="65">
        <f t="shared" si="2094"/>
        <v>0</v>
      </c>
      <c r="BW393" s="65">
        <f t="shared" si="2095"/>
        <v>0</v>
      </c>
      <c r="BX393" s="6"/>
      <c r="BY393" s="6"/>
      <c r="BZ393" s="6"/>
      <c r="CA393" s="6"/>
      <c r="CB393" s="6"/>
      <c r="CC393" s="6"/>
      <c r="CD393" s="6"/>
      <c r="CE393" s="6"/>
      <c r="CF393" s="6"/>
      <c r="CG393" s="6"/>
    </row>
    <row r="394" spans="1:85" ht="15.75">
      <c r="A394" s="75"/>
      <c r="B394" s="76"/>
      <c r="C394" s="77"/>
      <c r="D394" s="78" t="s">
        <v>168</v>
      </c>
      <c r="E394" s="45">
        <f t="shared" ref="E394:H394" si="2099">SUM(E395:E397)</f>
        <v>43139.479999999996</v>
      </c>
      <c r="F394" s="45">
        <f t="shared" si="2099"/>
        <v>0</v>
      </c>
      <c r="G394" s="45">
        <f t="shared" si="2099"/>
        <v>43139.479999999996</v>
      </c>
      <c r="H394" s="45">
        <f t="shared" si="2099"/>
        <v>0</v>
      </c>
      <c r="I394" s="47">
        <f t="shared" si="1582"/>
        <v>0</v>
      </c>
      <c r="J394" s="47">
        <f t="shared" si="1583"/>
        <v>0</v>
      </c>
      <c r="K394" s="45">
        <f t="shared" ref="K394:W394" si="2100">SUM(K395:K397)</f>
        <v>0</v>
      </c>
      <c r="L394" s="45">
        <f t="shared" si="2100"/>
        <v>0</v>
      </c>
      <c r="M394" s="45">
        <f t="shared" si="2100"/>
        <v>0</v>
      </c>
      <c r="N394" s="45">
        <f t="shared" si="2100"/>
        <v>0</v>
      </c>
      <c r="O394" s="45">
        <f t="shared" si="2100"/>
        <v>0</v>
      </c>
      <c r="P394" s="45">
        <f t="shared" si="2100"/>
        <v>0</v>
      </c>
      <c r="Q394" s="45">
        <f t="shared" si="2100"/>
        <v>0</v>
      </c>
      <c r="R394" s="45">
        <f t="shared" si="2100"/>
        <v>0</v>
      </c>
      <c r="S394" s="45">
        <f t="shared" si="2100"/>
        <v>0</v>
      </c>
      <c r="T394" s="45">
        <f t="shared" si="2100"/>
        <v>0</v>
      </c>
      <c r="U394" s="45">
        <f t="shared" si="2100"/>
        <v>0</v>
      </c>
      <c r="V394" s="45">
        <f t="shared" si="2100"/>
        <v>0</v>
      </c>
      <c r="W394" s="45">
        <f t="shared" si="2100"/>
        <v>0</v>
      </c>
      <c r="X394" s="50">
        <f t="shared" ref="X394:Y394" si="2101">IF(O394&gt;0,O394/K394,0)</f>
        <v>0</v>
      </c>
      <c r="Y394" s="50">
        <f t="shared" si="2101"/>
        <v>0</v>
      </c>
      <c r="Z394" s="50">
        <f t="shared" si="1658"/>
        <v>0</v>
      </c>
      <c r="AA394" s="45">
        <f t="shared" ref="AA394:BW394" si="2102">SUM(AA395:AA397)</f>
        <v>0</v>
      </c>
      <c r="AB394" s="45">
        <f t="shared" si="2102"/>
        <v>0</v>
      </c>
      <c r="AC394" s="45">
        <f t="shared" si="2102"/>
        <v>0</v>
      </c>
      <c r="AD394" s="45">
        <f t="shared" si="2102"/>
        <v>0</v>
      </c>
      <c r="AE394" s="45">
        <f t="shared" si="2102"/>
        <v>0</v>
      </c>
      <c r="AF394" s="45">
        <f t="shared" si="2102"/>
        <v>0</v>
      </c>
      <c r="AG394" s="45">
        <f t="shared" si="2102"/>
        <v>0</v>
      </c>
      <c r="AH394" s="45">
        <f t="shared" si="2102"/>
        <v>0</v>
      </c>
      <c r="AI394" s="45">
        <f t="shared" si="2102"/>
        <v>0</v>
      </c>
      <c r="AJ394" s="45">
        <f t="shared" si="2102"/>
        <v>0</v>
      </c>
      <c r="AK394" s="45">
        <f t="shared" si="2102"/>
        <v>0</v>
      </c>
      <c r="AL394" s="45">
        <f t="shared" si="2102"/>
        <v>0</v>
      </c>
      <c r="AM394" s="45">
        <f t="shared" si="2102"/>
        <v>0</v>
      </c>
      <c r="AN394" s="45">
        <f t="shared" si="2102"/>
        <v>0</v>
      </c>
      <c r="AO394" s="45">
        <f t="shared" si="2102"/>
        <v>0</v>
      </c>
      <c r="AP394" s="45">
        <f t="shared" si="2102"/>
        <v>0</v>
      </c>
      <c r="AQ394" s="45">
        <f t="shared" si="2102"/>
        <v>0</v>
      </c>
      <c r="AR394" s="45">
        <f t="shared" si="2102"/>
        <v>0</v>
      </c>
      <c r="AS394" s="45">
        <f t="shared" si="2102"/>
        <v>0</v>
      </c>
      <c r="AT394" s="45">
        <f t="shared" si="2102"/>
        <v>0</v>
      </c>
      <c r="AU394" s="45">
        <f t="shared" si="2102"/>
        <v>0</v>
      </c>
      <c r="AV394" s="45">
        <f t="shared" si="2102"/>
        <v>0</v>
      </c>
      <c r="AW394" s="45">
        <f t="shared" si="2102"/>
        <v>0</v>
      </c>
      <c r="AX394" s="45">
        <f t="shared" si="2102"/>
        <v>0</v>
      </c>
      <c r="AY394" s="45">
        <f t="shared" si="2102"/>
        <v>0</v>
      </c>
      <c r="AZ394" s="45">
        <f t="shared" si="2102"/>
        <v>0</v>
      </c>
      <c r="BA394" s="45">
        <f t="shared" si="2102"/>
        <v>0</v>
      </c>
      <c r="BB394" s="45">
        <f t="shared" si="2102"/>
        <v>0</v>
      </c>
      <c r="BC394" s="45">
        <f t="shared" si="2102"/>
        <v>0</v>
      </c>
      <c r="BD394" s="45">
        <f t="shared" si="2102"/>
        <v>0</v>
      </c>
      <c r="BE394" s="45">
        <f t="shared" si="2102"/>
        <v>0</v>
      </c>
      <c r="BF394" s="45">
        <f t="shared" si="2102"/>
        <v>0</v>
      </c>
      <c r="BG394" s="45">
        <f t="shared" si="2102"/>
        <v>0</v>
      </c>
      <c r="BH394" s="45">
        <f t="shared" si="2102"/>
        <v>0</v>
      </c>
      <c r="BI394" s="45">
        <f t="shared" si="2102"/>
        <v>0</v>
      </c>
      <c r="BJ394" s="45">
        <f t="shared" si="2102"/>
        <v>0</v>
      </c>
      <c r="BK394" s="45">
        <f t="shared" si="2102"/>
        <v>0</v>
      </c>
      <c r="BL394" s="45">
        <f t="shared" si="2102"/>
        <v>0</v>
      </c>
      <c r="BM394" s="45">
        <f t="shared" si="2102"/>
        <v>0</v>
      </c>
      <c r="BN394" s="45">
        <f t="shared" si="2102"/>
        <v>0</v>
      </c>
      <c r="BO394" s="45">
        <f t="shared" si="2102"/>
        <v>0</v>
      </c>
      <c r="BP394" s="45">
        <f t="shared" si="2102"/>
        <v>0</v>
      </c>
      <c r="BQ394" s="45">
        <f t="shared" si="2102"/>
        <v>0</v>
      </c>
      <c r="BR394" s="45">
        <f t="shared" si="2102"/>
        <v>0</v>
      </c>
      <c r="BS394" s="45">
        <f t="shared" si="2102"/>
        <v>0</v>
      </c>
      <c r="BT394" s="45">
        <f t="shared" si="2102"/>
        <v>0</v>
      </c>
      <c r="BU394" s="45">
        <f t="shared" si="2102"/>
        <v>0</v>
      </c>
      <c r="BV394" s="45">
        <f t="shared" si="2102"/>
        <v>0</v>
      </c>
      <c r="BW394" s="45">
        <f t="shared" si="2102"/>
        <v>0</v>
      </c>
      <c r="BX394" s="51"/>
      <c r="BY394" s="51"/>
      <c r="BZ394" s="51"/>
      <c r="CA394" s="51"/>
      <c r="CB394" s="51"/>
      <c r="CC394" s="51"/>
      <c r="CD394" s="51"/>
      <c r="CE394" s="51"/>
      <c r="CF394" s="51"/>
      <c r="CG394" s="51"/>
    </row>
    <row r="395" spans="1:85" ht="15.75" customHeight="1">
      <c r="A395" s="71"/>
      <c r="B395" s="103"/>
      <c r="C395" s="68" t="s">
        <v>198</v>
      </c>
      <c r="D395" s="171" t="s">
        <v>199</v>
      </c>
      <c r="E395" s="56">
        <v>2500</v>
      </c>
      <c r="F395" s="99">
        <v>0</v>
      </c>
      <c r="G395" s="58">
        <f t="shared" ref="G395:G397" si="2103">E395-F395</f>
        <v>2500</v>
      </c>
      <c r="H395" s="99">
        <v>0</v>
      </c>
      <c r="I395" s="59">
        <f t="shared" si="1582"/>
        <v>0</v>
      </c>
      <c r="J395" s="59">
        <f t="shared" si="1583"/>
        <v>0</v>
      </c>
      <c r="K395" s="74">
        <v>0</v>
      </c>
      <c r="L395" s="74">
        <v>0</v>
      </c>
      <c r="M395" s="74">
        <v>0</v>
      </c>
      <c r="N395" s="74">
        <v>0</v>
      </c>
      <c r="O395" s="61">
        <f t="shared" ref="O395:Q395" si="2104">AA395+AD395+AG395+AJ395+AM395+AP395+AS395+AV395+AY395+BB395+BE395+BH395</f>
        <v>0</v>
      </c>
      <c r="P395" s="61">
        <f t="shared" si="2104"/>
        <v>0</v>
      </c>
      <c r="Q395" s="61">
        <f t="shared" si="2104"/>
        <v>0</v>
      </c>
      <c r="R395" s="61">
        <f t="shared" ref="R395:T395" si="2105">IF(BK395=0,SUM(AA395+AD395+AG395+AJ395+AM395+AP395+AS395+AV395+AY395+BB395+BE395+BH395),BK395)</f>
        <v>0</v>
      </c>
      <c r="S395" s="61">
        <f t="shared" si="2105"/>
        <v>0</v>
      </c>
      <c r="T395" s="61">
        <f t="shared" si="2105"/>
        <v>0</v>
      </c>
      <c r="U395" s="63">
        <f t="shared" ref="U395:U397" si="2106">K395-O395</f>
        <v>0</v>
      </c>
      <c r="V395" s="63">
        <f t="shared" ref="V395:V397" si="2107">L395-M395-S395</f>
        <v>0</v>
      </c>
      <c r="W395" s="63">
        <f t="shared" ref="W395:W397" si="2108">N395-Q395</f>
        <v>0</v>
      </c>
      <c r="X395" s="64">
        <f t="shared" ref="X395:Y395" si="2109">IF(O395&gt;0,O395/K395,0)</f>
        <v>0</v>
      </c>
      <c r="Y395" s="64">
        <f t="shared" si="2109"/>
        <v>0</v>
      </c>
      <c r="Z395" s="64">
        <f t="shared" si="1658"/>
        <v>0</v>
      </c>
      <c r="AA395" s="65"/>
      <c r="AB395" s="65"/>
      <c r="AC395" s="65"/>
      <c r="AD395" s="65"/>
      <c r="AE395" s="66"/>
      <c r="AF395" s="66"/>
      <c r="AG395" s="66"/>
      <c r="AH395" s="66"/>
      <c r="AI395" s="65"/>
      <c r="AJ395" s="65"/>
      <c r="AK395" s="65"/>
      <c r="AL395" s="65"/>
      <c r="AM395" s="65"/>
      <c r="AN395" s="65"/>
      <c r="AO395" s="65"/>
      <c r="AP395" s="65"/>
      <c r="AQ395" s="65"/>
      <c r="AR395" s="65"/>
      <c r="AS395" s="65"/>
      <c r="AT395" s="65"/>
      <c r="AU395" s="65"/>
      <c r="AV395" s="65"/>
      <c r="AW395" s="65"/>
      <c r="AX395" s="65"/>
      <c r="AY395" s="65"/>
      <c r="AZ395" s="65"/>
      <c r="BA395" s="65"/>
      <c r="BB395" s="65"/>
      <c r="BC395" s="65"/>
      <c r="BD395" s="65"/>
      <c r="BE395" s="65"/>
      <c r="BF395" s="65"/>
      <c r="BG395" s="65"/>
      <c r="BH395" s="65"/>
      <c r="BI395" s="65"/>
      <c r="BJ395" s="65"/>
      <c r="BK395" s="65">
        <v>0</v>
      </c>
      <c r="BL395" s="65">
        <v>0</v>
      </c>
      <c r="BM395" s="65">
        <v>0</v>
      </c>
      <c r="BN395" s="65">
        <f t="shared" ref="BN395:BN397" si="2110">IF(O395-BK395&gt;0,O395-BK395,0)</f>
        <v>0</v>
      </c>
      <c r="BO395" s="67">
        <f t="shared" ref="BO395:BO397" si="2111">IF(Q395-BM395&gt;0,Q395-BM395,0)</f>
        <v>0</v>
      </c>
      <c r="BP395" s="65">
        <f t="shared" ref="BP395:BP397" si="2112">IF(BN395+BO395&gt;0,BN395+BO395,0)</f>
        <v>0</v>
      </c>
      <c r="BQ395" s="65">
        <f t="shared" ref="BQ395:BQ397" si="2113">IF(U395=0,0,U395)</f>
        <v>0</v>
      </c>
      <c r="BR395" s="65">
        <f t="shared" ref="BR395:BR397" si="2114">IF(W395=0,0,W395)</f>
        <v>0</v>
      </c>
      <c r="BS395" s="65">
        <f t="shared" ref="BS395:BS397" si="2115">IF(BQ395+BR395&gt;0,BQ395+BR395,0)</f>
        <v>0</v>
      </c>
      <c r="BT395" s="65">
        <f t="shared" ref="BT395:BT397" si="2116">IF(V395&gt;0,V395,0)</f>
        <v>0</v>
      </c>
      <c r="BU395" s="65">
        <f t="shared" ref="BU395:BU397" si="2117">IF(BP395=0,0,BP395)</f>
        <v>0</v>
      </c>
      <c r="BV395" s="65">
        <f t="shared" ref="BV395:BV397" si="2118">IF(BS395=0,0,BS395)</f>
        <v>0</v>
      </c>
      <c r="BW395" s="65">
        <f t="shared" ref="BW395:BW397" si="2119">IF(BP395+BT395+BV395&gt;0,BP395+BT395+BV395,0)</f>
        <v>0</v>
      </c>
      <c r="BX395" s="6"/>
      <c r="BY395" s="6"/>
      <c r="BZ395" s="6"/>
      <c r="CA395" s="6"/>
      <c r="CB395" s="6"/>
      <c r="CC395" s="6"/>
      <c r="CD395" s="6"/>
      <c r="CE395" s="6"/>
      <c r="CF395" s="6"/>
      <c r="CG395" s="6"/>
    </row>
    <row r="396" spans="1:85" ht="15.75" customHeight="1">
      <c r="A396" s="68"/>
      <c r="B396" s="69"/>
      <c r="C396" s="68" t="s">
        <v>314</v>
      </c>
      <c r="D396" s="105" t="s">
        <v>508</v>
      </c>
      <c r="E396" s="56">
        <v>30000</v>
      </c>
      <c r="F396" s="99">
        <v>0</v>
      </c>
      <c r="G396" s="58">
        <f t="shared" si="2103"/>
        <v>30000</v>
      </c>
      <c r="H396" s="99">
        <v>0</v>
      </c>
      <c r="I396" s="59">
        <f t="shared" si="1582"/>
        <v>0</v>
      </c>
      <c r="J396" s="59">
        <f t="shared" si="1583"/>
        <v>0</v>
      </c>
      <c r="K396" s="74">
        <v>0</v>
      </c>
      <c r="L396" s="74">
        <v>0</v>
      </c>
      <c r="M396" s="74">
        <v>0</v>
      </c>
      <c r="N396" s="74">
        <v>0</v>
      </c>
      <c r="O396" s="61">
        <f t="shared" ref="O396:Q396" si="2120">AA396+AD396+AG396+AJ396+AM396+AP396+AS396+AV396+AY396+BB396+BE396+BH396</f>
        <v>0</v>
      </c>
      <c r="P396" s="61">
        <f t="shared" si="2120"/>
        <v>0</v>
      </c>
      <c r="Q396" s="61">
        <f t="shared" si="2120"/>
        <v>0</v>
      </c>
      <c r="R396" s="61">
        <f t="shared" ref="R396:T396" si="2121">IF(BK396=0,SUM(AA396+AD396+AG396+AJ396+AM396+AP396+AS396+AV396+AY396+BB396+BE396+BH396),BK396)</f>
        <v>0</v>
      </c>
      <c r="S396" s="61">
        <f t="shared" si="2121"/>
        <v>0</v>
      </c>
      <c r="T396" s="61">
        <f t="shared" si="2121"/>
        <v>0</v>
      </c>
      <c r="U396" s="63">
        <f t="shared" si="2106"/>
        <v>0</v>
      </c>
      <c r="V396" s="63">
        <f t="shared" si="2107"/>
        <v>0</v>
      </c>
      <c r="W396" s="63">
        <f t="shared" si="2108"/>
        <v>0</v>
      </c>
      <c r="X396" s="64">
        <f t="shared" ref="X396:Y396" si="2122">IF(O396&gt;0,O396/K396,0)</f>
        <v>0</v>
      </c>
      <c r="Y396" s="64">
        <f t="shared" si="2122"/>
        <v>0</v>
      </c>
      <c r="Z396" s="64">
        <f t="shared" si="1658"/>
        <v>0</v>
      </c>
      <c r="AA396" s="65"/>
      <c r="AB396" s="65"/>
      <c r="AC396" s="65"/>
      <c r="AD396" s="65"/>
      <c r="AE396" s="66"/>
      <c r="AF396" s="66"/>
      <c r="AG396" s="66"/>
      <c r="AH396" s="66"/>
      <c r="AI396" s="65"/>
      <c r="AJ396" s="65"/>
      <c r="AK396" s="65"/>
      <c r="AL396" s="65"/>
      <c r="AM396" s="65"/>
      <c r="AN396" s="65"/>
      <c r="AO396" s="65"/>
      <c r="AP396" s="65"/>
      <c r="AQ396" s="65"/>
      <c r="AR396" s="65"/>
      <c r="AS396" s="65"/>
      <c r="AT396" s="65"/>
      <c r="AU396" s="65"/>
      <c r="AV396" s="65"/>
      <c r="AW396" s="65"/>
      <c r="AX396" s="65"/>
      <c r="AY396" s="65"/>
      <c r="AZ396" s="65"/>
      <c r="BA396" s="65"/>
      <c r="BB396" s="65"/>
      <c r="BC396" s="65"/>
      <c r="BD396" s="65"/>
      <c r="BE396" s="65"/>
      <c r="BF396" s="65"/>
      <c r="BG396" s="65"/>
      <c r="BH396" s="65"/>
      <c r="BI396" s="65"/>
      <c r="BJ396" s="65"/>
      <c r="BK396" s="65">
        <v>0</v>
      </c>
      <c r="BL396" s="65">
        <v>0</v>
      </c>
      <c r="BM396" s="65">
        <v>0</v>
      </c>
      <c r="BN396" s="65">
        <f t="shared" si="2110"/>
        <v>0</v>
      </c>
      <c r="BO396" s="67">
        <f t="shared" si="2111"/>
        <v>0</v>
      </c>
      <c r="BP396" s="65">
        <f t="shared" si="2112"/>
        <v>0</v>
      </c>
      <c r="BQ396" s="65">
        <f t="shared" si="2113"/>
        <v>0</v>
      </c>
      <c r="BR396" s="65">
        <f t="shared" si="2114"/>
        <v>0</v>
      </c>
      <c r="BS396" s="65">
        <f t="shared" si="2115"/>
        <v>0</v>
      </c>
      <c r="BT396" s="65">
        <f t="shared" si="2116"/>
        <v>0</v>
      </c>
      <c r="BU396" s="65">
        <f t="shared" si="2117"/>
        <v>0</v>
      </c>
      <c r="BV396" s="65">
        <f t="shared" si="2118"/>
        <v>0</v>
      </c>
      <c r="BW396" s="65">
        <f t="shared" si="2119"/>
        <v>0</v>
      </c>
      <c r="BX396" s="6"/>
      <c r="BY396" s="6"/>
      <c r="BZ396" s="6"/>
      <c r="CA396" s="6"/>
      <c r="CB396" s="6"/>
      <c r="CC396" s="6"/>
      <c r="CD396" s="6"/>
      <c r="CE396" s="6"/>
      <c r="CF396" s="6"/>
      <c r="CG396" s="6"/>
    </row>
    <row r="397" spans="1:85" ht="15.75" customHeight="1">
      <c r="A397" s="68"/>
      <c r="B397" s="69"/>
      <c r="C397" s="68" t="s">
        <v>211</v>
      </c>
      <c r="D397" s="70" t="s">
        <v>509</v>
      </c>
      <c r="E397" s="56">
        <f>10661.3-21.82</f>
        <v>10639.48</v>
      </c>
      <c r="F397" s="99">
        <v>0</v>
      </c>
      <c r="G397" s="58">
        <f t="shared" si="2103"/>
        <v>10639.48</v>
      </c>
      <c r="H397" s="99">
        <v>0</v>
      </c>
      <c r="I397" s="59">
        <f t="shared" si="1582"/>
        <v>0</v>
      </c>
      <c r="J397" s="59">
        <f t="shared" si="1583"/>
        <v>0</v>
      </c>
      <c r="K397" s="74">
        <v>0</v>
      </c>
      <c r="L397" s="74">
        <v>0</v>
      </c>
      <c r="M397" s="74">
        <v>0</v>
      </c>
      <c r="N397" s="74">
        <v>0</v>
      </c>
      <c r="O397" s="61">
        <f t="shared" ref="O397:Q397" si="2123">AA397+AD397+AG397+AJ397+AM397+AP397+AS397+AV397+AY397+BB397+BE397+BH397</f>
        <v>0</v>
      </c>
      <c r="P397" s="61">
        <f t="shared" si="2123"/>
        <v>0</v>
      </c>
      <c r="Q397" s="61">
        <f t="shared" si="2123"/>
        <v>0</v>
      </c>
      <c r="R397" s="61">
        <f t="shared" ref="R397:T397" si="2124">IF(BK397=0,SUM(AA397+AD397+AG397+AJ397+AM397+AP397+AS397+AV397+AY397+BB397+BE397+BH397),BK397)</f>
        <v>0</v>
      </c>
      <c r="S397" s="61">
        <f t="shared" si="2124"/>
        <v>0</v>
      </c>
      <c r="T397" s="61">
        <f t="shared" si="2124"/>
        <v>0</v>
      </c>
      <c r="U397" s="63">
        <f t="shared" si="2106"/>
        <v>0</v>
      </c>
      <c r="V397" s="63">
        <f t="shared" si="2107"/>
        <v>0</v>
      </c>
      <c r="W397" s="63">
        <f t="shared" si="2108"/>
        <v>0</v>
      </c>
      <c r="X397" s="64">
        <f t="shared" ref="X397:Y397" si="2125">IF(O397&gt;0,O397/K397,0)</f>
        <v>0</v>
      </c>
      <c r="Y397" s="64">
        <f t="shared" si="2125"/>
        <v>0</v>
      </c>
      <c r="Z397" s="64">
        <f t="shared" si="1658"/>
        <v>0</v>
      </c>
      <c r="AA397" s="65"/>
      <c r="AB397" s="65"/>
      <c r="AC397" s="65"/>
      <c r="AD397" s="65"/>
      <c r="AE397" s="66"/>
      <c r="AF397" s="66"/>
      <c r="AG397" s="66"/>
      <c r="AH397" s="66"/>
      <c r="AI397" s="65"/>
      <c r="AJ397" s="65"/>
      <c r="AK397" s="65"/>
      <c r="AL397" s="65"/>
      <c r="AM397" s="65"/>
      <c r="AN397" s="65"/>
      <c r="AO397" s="65"/>
      <c r="AP397" s="65"/>
      <c r="AQ397" s="65"/>
      <c r="AR397" s="65"/>
      <c r="AS397" s="65"/>
      <c r="AT397" s="65"/>
      <c r="AU397" s="65"/>
      <c r="AV397" s="65"/>
      <c r="AW397" s="65"/>
      <c r="AX397" s="65"/>
      <c r="AY397" s="65"/>
      <c r="AZ397" s="65"/>
      <c r="BA397" s="65"/>
      <c r="BB397" s="65"/>
      <c r="BC397" s="65"/>
      <c r="BD397" s="65"/>
      <c r="BE397" s="65"/>
      <c r="BF397" s="65"/>
      <c r="BG397" s="65"/>
      <c r="BH397" s="65"/>
      <c r="BI397" s="65"/>
      <c r="BJ397" s="65"/>
      <c r="BK397" s="65">
        <v>0</v>
      </c>
      <c r="BL397" s="65">
        <v>0</v>
      </c>
      <c r="BM397" s="65">
        <v>0</v>
      </c>
      <c r="BN397" s="65">
        <f t="shared" si="2110"/>
        <v>0</v>
      </c>
      <c r="BO397" s="67">
        <f t="shared" si="2111"/>
        <v>0</v>
      </c>
      <c r="BP397" s="65">
        <f t="shared" si="2112"/>
        <v>0</v>
      </c>
      <c r="BQ397" s="65">
        <f t="shared" si="2113"/>
        <v>0</v>
      </c>
      <c r="BR397" s="65">
        <f t="shared" si="2114"/>
        <v>0</v>
      </c>
      <c r="BS397" s="65">
        <f t="shared" si="2115"/>
        <v>0</v>
      </c>
      <c r="BT397" s="65">
        <f t="shared" si="2116"/>
        <v>0</v>
      </c>
      <c r="BU397" s="65">
        <f t="shared" si="2117"/>
        <v>0</v>
      </c>
      <c r="BV397" s="65">
        <f t="shared" si="2118"/>
        <v>0</v>
      </c>
      <c r="BW397" s="65">
        <f t="shared" si="2119"/>
        <v>0</v>
      </c>
      <c r="BX397" s="6"/>
      <c r="BY397" s="6"/>
      <c r="BZ397" s="6"/>
      <c r="CA397" s="6"/>
      <c r="CB397" s="6"/>
      <c r="CC397" s="6"/>
      <c r="CD397" s="6"/>
      <c r="CE397" s="6"/>
      <c r="CF397" s="6"/>
      <c r="CG397" s="6"/>
    </row>
    <row r="398" spans="1:85" ht="15.75" customHeight="1">
      <c r="A398" s="260"/>
      <c r="B398" s="261"/>
      <c r="C398" s="262"/>
      <c r="D398" s="78" t="s">
        <v>223</v>
      </c>
      <c r="E398" s="45">
        <f t="shared" ref="E398:H398" si="2126">E399</f>
        <v>0</v>
      </c>
      <c r="F398" s="46">
        <f t="shared" si="2126"/>
        <v>0</v>
      </c>
      <c r="G398" s="46">
        <f t="shared" si="2126"/>
        <v>0</v>
      </c>
      <c r="H398" s="46">
        <f t="shared" si="2126"/>
        <v>0</v>
      </c>
      <c r="I398" s="47">
        <f t="shared" si="1582"/>
        <v>0</v>
      </c>
      <c r="J398" s="47">
        <f t="shared" si="1583"/>
        <v>0</v>
      </c>
      <c r="K398" s="46">
        <f t="shared" ref="K398:W398" si="2127">K399</f>
        <v>0</v>
      </c>
      <c r="L398" s="46">
        <f t="shared" si="2127"/>
        <v>0</v>
      </c>
      <c r="M398" s="46">
        <f t="shared" si="2127"/>
        <v>0</v>
      </c>
      <c r="N398" s="46">
        <f t="shared" si="2127"/>
        <v>0</v>
      </c>
      <c r="O398" s="46">
        <f t="shared" si="2127"/>
        <v>0</v>
      </c>
      <c r="P398" s="46">
        <f t="shared" si="2127"/>
        <v>0</v>
      </c>
      <c r="Q398" s="46">
        <f t="shared" si="2127"/>
        <v>0</v>
      </c>
      <c r="R398" s="46">
        <f t="shared" si="2127"/>
        <v>0</v>
      </c>
      <c r="S398" s="46">
        <f t="shared" si="2127"/>
        <v>0</v>
      </c>
      <c r="T398" s="46">
        <f t="shared" si="2127"/>
        <v>0</v>
      </c>
      <c r="U398" s="46">
        <f t="shared" si="2127"/>
        <v>0</v>
      </c>
      <c r="V398" s="46">
        <f t="shared" si="2127"/>
        <v>0</v>
      </c>
      <c r="W398" s="46">
        <f t="shared" si="2127"/>
        <v>0</v>
      </c>
      <c r="X398" s="50">
        <f t="shared" ref="X398:Y398" si="2128">IF(O398&gt;0,O398/K398,0)</f>
        <v>0</v>
      </c>
      <c r="Y398" s="50">
        <f t="shared" si="2128"/>
        <v>0</v>
      </c>
      <c r="Z398" s="50">
        <f t="shared" si="1658"/>
        <v>0</v>
      </c>
      <c r="AA398" s="46">
        <f t="shared" ref="AA398:BW398" si="2129">AA399</f>
        <v>0</v>
      </c>
      <c r="AB398" s="46">
        <f t="shared" si="2129"/>
        <v>0</v>
      </c>
      <c r="AC398" s="46">
        <f t="shared" si="2129"/>
        <v>0</v>
      </c>
      <c r="AD398" s="46">
        <f t="shared" si="2129"/>
        <v>0</v>
      </c>
      <c r="AE398" s="46">
        <f t="shared" si="2129"/>
        <v>0</v>
      </c>
      <c r="AF398" s="46">
        <f t="shared" si="2129"/>
        <v>0</v>
      </c>
      <c r="AG398" s="46">
        <f t="shared" si="2129"/>
        <v>0</v>
      </c>
      <c r="AH398" s="46">
        <f t="shared" si="2129"/>
        <v>0</v>
      </c>
      <c r="AI398" s="46">
        <f t="shared" si="2129"/>
        <v>0</v>
      </c>
      <c r="AJ398" s="46">
        <f t="shared" si="2129"/>
        <v>0</v>
      </c>
      <c r="AK398" s="46">
        <f t="shared" si="2129"/>
        <v>0</v>
      </c>
      <c r="AL398" s="46">
        <f t="shared" si="2129"/>
        <v>0</v>
      </c>
      <c r="AM398" s="46">
        <f t="shared" si="2129"/>
        <v>0</v>
      </c>
      <c r="AN398" s="46">
        <f t="shared" si="2129"/>
        <v>0</v>
      </c>
      <c r="AO398" s="46">
        <f t="shared" si="2129"/>
        <v>0</v>
      </c>
      <c r="AP398" s="46">
        <f t="shared" si="2129"/>
        <v>0</v>
      </c>
      <c r="AQ398" s="46">
        <f t="shared" si="2129"/>
        <v>0</v>
      </c>
      <c r="AR398" s="46">
        <f t="shared" si="2129"/>
        <v>0</v>
      </c>
      <c r="AS398" s="46">
        <f t="shared" si="2129"/>
        <v>0</v>
      </c>
      <c r="AT398" s="46">
        <f t="shared" si="2129"/>
        <v>0</v>
      </c>
      <c r="AU398" s="46">
        <f t="shared" si="2129"/>
        <v>0</v>
      </c>
      <c r="AV398" s="46">
        <f t="shared" si="2129"/>
        <v>0</v>
      </c>
      <c r="AW398" s="46">
        <f t="shared" si="2129"/>
        <v>0</v>
      </c>
      <c r="AX398" s="46">
        <f t="shared" si="2129"/>
        <v>0</v>
      </c>
      <c r="AY398" s="46">
        <f t="shared" si="2129"/>
        <v>0</v>
      </c>
      <c r="AZ398" s="46">
        <f t="shared" si="2129"/>
        <v>0</v>
      </c>
      <c r="BA398" s="46">
        <f t="shared" si="2129"/>
        <v>0</v>
      </c>
      <c r="BB398" s="46">
        <f t="shared" si="2129"/>
        <v>0</v>
      </c>
      <c r="BC398" s="46">
        <f t="shared" si="2129"/>
        <v>0</v>
      </c>
      <c r="BD398" s="46">
        <f t="shared" si="2129"/>
        <v>0</v>
      </c>
      <c r="BE398" s="46">
        <f t="shared" si="2129"/>
        <v>0</v>
      </c>
      <c r="BF398" s="46">
        <f t="shared" si="2129"/>
        <v>0</v>
      </c>
      <c r="BG398" s="46">
        <f t="shared" si="2129"/>
        <v>0</v>
      </c>
      <c r="BH398" s="46">
        <f t="shared" si="2129"/>
        <v>0</v>
      </c>
      <c r="BI398" s="46">
        <f t="shared" si="2129"/>
        <v>0</v>
      </c>
      <c r="BJ398" s="46">
        <f t="shared" si="2129"/>
        <v>0</v>
      </c>
      <c r="BK398" s="46">
        <f t="shared" si="2129"/>
        <v>0</v>
      </c>
      <c r="BL398" s="46">
        <f t="shared" si="2129"/>
        <v>0</v>
      </c>
      <c r="BM398" s="46">
        <f t="shared" si="2129"/>
        <v>0</v>
      </c>
      <c r="BN398" s="46">
        <f t="shared" si="2129"/>
        <v>0</v>
      </c>
      <c r="BO398" s="46">
        <f t="shared" si="2129"/>
        <v>0</v>
      </c>
      <c r="BP398" s="46">
        <f t="shared" si="2129"/>
        <v>0</v>
      </c>
      <c r="BQ398" s="46">
        <f t="shared" si="2129"/>
        <v>0</v>
      </c>
      <c r="BR398" s="46">
        <f t="shared" si="2129"/>
        <v>0</v>
      </c>
      <c r="BS398" s="46">
        <f t="shared" si="2129"/>
        <v>0</v>
      </c>
      <c r="BT398" s="46">
        <f t="shared" si="2129"/>
        <v>0</v>
      </c>
      <c r="BU398" s="46">
        <f t="shared" si="2129"/>
        <v>0</v>
      </c>
      <c r="BV398" s="46">
        <f t="shared" si="2129"/>
        <v>0</v>
      </c>
      <c r="BW398" s="46">
        <f t="shared" si="2129"/>
        <v>0</v>
      </c>
      <c r="BX398" s="6"/>
      <c r="BY398" s="6"/>
      <c r="BZ398" s="6"/>
      <c r="CA398" s="6"/>
      <c r="CB398" s="6"/>
      <c r="CC398" s="6"/>
      <c r="CD398" s="6"/>
      <c r="CE398" s="6"/>
      <c r="CF398" s="6"/>
      <c r="CG398" s="6"/>
    </row>
    <row r="399" spans="1:85" ht="15.75" customHeight="1">
      <c r="A399" s="203"/>
      <c r="B399" s="253"/>
      <c r="C399" s="197" t="s">
        <v>224</v>
      </c>
      <c r="D399" s="198" t="s">
        <v>510</v>
      </c>
      <c r="E399" s="99">
        <v>0</v>
      </c>
      <c r="F399" s="99">
        <v>0</v>
      </c>
      <c r="G399" s="58">
        <f>E399-F399</f>
        <v>0</v>
      </c>
      <c r="H399" s="99">
        <v>0</v>
      </c>
      <c r="I399" s="59">
        <f t="shared" si="1582"/>
        <v>0</v>
      </c>
      <c r="J399" s="59">
        <f t="shared" si="1583"/>
        <v>0</v>
      </c>
      <c r="K399" s="74">
        <v>0</v>
      </c>
      <c r="L399" s="74">
        <v>0</v>
      </c>
      <c r="M399" s="74">
        <v>0</v>
      </c>
      <c r="N399" s="74">
        <v>0</v>
      </c>
      <c r="O399" s="61">
        <f t="shared" ref="O399:Q399" si="2130">AA399+AD399+AG399+AJ399+AM399+AP399+AS399+AV399+AY399+BB399+BE399+BH399</f>
        <v>0</v>
      </c>
      <c r="P399" s="61">
        <f t="shared" si="2130"/>
        <v>0</v>
      </c>
      <c r="Q399" s="61">
        <f t="shared" si="2130"/>
        <v>0</v>
      </c>
      <c r="R399" s="61">
        <f t="shared" ref="R399:T399" si="2131">IF(BK399=0,SUM(AA399+AD399+AG399+AJ399+AM399+AP399+AS399+AV399+AY399+BB399+BE399+BH399),BK399)</f>
        <v>0</v>
      </c>
      <c r="S399" s="61">
        <f t="shared" si="2131"/>
        <v>0</v>
      </c>
      <c r="T399" s="61">
        <f t="shared" si="2131"/>
        <v>0</v>
      </c>
      <c r="U399" s="63">
        <f>K399-O399</f>
        <v>0</v>
      </c>
      <c r="V399" s="63">
        <f>L399-M399-S399</f>
        <v>0</v>
      </c>
      <c r="W399" s="63">
        <f>N399-Q399</f>
        <v>0</v>
      </c>
      <c r="X399" s="64">
        <f t="shared" ref="X399:Y399" si="2132">IF(O399&gt;0,O399/K399,0)</f>
        <v>0</v>
      </c>
      <c r="Y399" s="64">
        <f t="shared" si="2132"/>
        <v>0</v>
      </c>
      <c r="Z399" s="64">
        <f t="shared" si="1658"/>
        <v>0</v>
      </c>
      <c r="AA399" s="65"/>
      <c r="AB399" s="65"/>
      <c r="AC399" s="65"/>
      <c r="AD399" s="65"/>
      <c r="AE399" s="66"/>
      <c r="AF399" s="66"/>
      <c r="AG399" s="66"/>
      <c r="AH399" s="66"/>
      <c r="AI399" s="65"/>
      <c r="AJ399" s="65"/>
      <c r="AK399" s="65"/>
      <c r="AL399" s="65"/>
      <c r="AM399" s="65"/>
      <c r="AN399" s="65"/>
      <c r="AO399" s="65"/>
      <c r="AP399" s="65"/>
      <c r="AQ399" s="65"/>
      <c r="AR399" s="65"/>
      <c r="AS399" s="65"/>
      <c r="AT399" s="65"/>
      <c r="AU399" s="65"/>
      <c r="AV399" s="65"/>
      <c r="AW399" s="65"/>
      <c r="AX399" s="65"/>
      <c r="AY399" s="65"/>
      <c r="AZ399" s="65"/>
      <c r="BA399" s="65"/>
      <c r="BB399" s="65"/>
      <c r="BC399" s="65"/>
      <c r="BD399" s="65"/>
      <c r="BE399" s="65"/>
      <c r="BF399" s="65"/>
      <c r="BG399" s="65"/>
      <c r="BH399" s="65"/>
      <c r="BI399" s="65"/>
      <c r="BJ399" s="65"/>
      <c r="BK399" s="65">
        <v>0</v>
      </c>
      <c r="BL399" s="65">
        <v>0</v>
      </c>
      <c r="BM399" s="65">
        <v>0</v>
      </c>
      <c r="BN399" s="65">
        <f>IF(O399-BK399&gt;0,O399-BK399,0)</f>
        <v>0</v>
      </c>
      <c r="BO399" s="67">
        <f>IF(Q399-BM399&gt;0,Q399-BM399,0)</f>
        <v>0</v>
      </c>
      <c r="BP399" s="65">
        <f>IF(BN399+BO399&gt;0,BN399+BO399,0)</f>
        <v>0</v>
      </c>
      <c r="BQ399" s="65">
        <f>IF(U399=0,0,U399)</f>
        <v>0</v>
      </c>
      <c r="BR399" s="65">
        <f>IF(W399=0,0,W399)</f>
        <v>0</v>
      </c>
      <c r="BS399" s="65">
        <f>IF(BQ399+BR399&gt;0,BQ399+BR399,0)</f>
        <v>0</v>
      </c>
      <c r="BT399" s="65">
        <f>IF(V399&gt;0,V399,0)</f>
        <v>0</v>
      </c>
      <c r="BU399" s="65">
        <f>IF(BP399=0,0,BP399)</f>
        <v>0</v>
      </c>
      <c r="BV399" s="65">
        <f>IF(BS399=0,0,BS399)</f>
        <v>0</v>
      </c>
      <c r="BW399" s="65">
        <f>IF(BP399+BT399+BV399&gt;0,BP399+BT399+BV399,0)</f>
        <v>0</v>
      </c>
      <c r="BX399" s="6"/>
      <c r="BY399" s="6"/>
      <c r="BZ399" s="6"/>
      <c r="CA399" s="6"/>
      <c r="CB399" s="6"/>
      <c r="CC399" s="6"/>
      <c r="CD399" s="6"/>
      <c r="CE399" s="6"/>
      <c r="CF399" s="6"/>
      <c r="CG399" s="6"/>
    </row>
    <row r="400" spans="1:85" ht="15.75">
      <c r="A400" s="75"/>
      <c r="B400" s="76"/>
      <c r="C400" s="77"/>
      <c r="D400" s="78" t="s">
        <v>294</v>
      </c>
      <c r="E400" s="45">
        <f t="shared" ref="E400:H400" si="2133">SUM(E401+E404)</f>
        <v>0</v>
      </c>
      <c r="F400" s="45">
        <f t="shared" si="2133"/>
        <v>0</v>
      </c>
      <c r="G400" s="45">
        <f t="shared" si="2133"/>
        <v>0</v>
      </c>
      <c r="H400" s="45">
        <f t="shared" si="2133"/>
        <v>0</v>
      </c>
      <c r="I400" s="47">
        <f t="shared" si="1582"/>
        <v>0</v>
      </c>
      <c r="J400" s="47">
        <f t="shared" si="1583"/>
        <v>0</v>
      </c>
      <c r="K400" s="45">
        <f t="shared" ref="K400:W400" si="2134">SUM(K401+K404)</f>
        <v>0</v>
      </c>
      <c r="L400" s="45">
        <f t="shared" si="2134"/>
        <v>16662.79</v>
      </c>
      <c r="M400" s="45">
        <f t="shared" si="2134"/>
        <v>0</v>
      </c>
      <c r="N400" s="45">
        <f t="shared" si="2134"/>
        <v>0</v>
      </c>
      <c r="O400" s="45">
        <f t="shared" si="2134"/>
        <v>0</v>
      </c>
      <c r="P400" s="45">
        <f t="shared" si="2134"/>
        <v>2315.34</v>
      </c>
      <c r="Q400" s="45">
        <f t="shared" si="2134"/>
        <v>0</v>
      </c>
      <c r="R400" s="45">
        <f t="shared" si="2134"/>
        <v>0</v>
      </c>
      <c r="S400" s="45">
        <f t="shared" si="2134"/>
        <v>2315.34</v>
      </c>
      <c r="T400" s="45">
        <f t="shared" si="2134"/>
        <v>0</v>
      </c>
      <c r="U400" s="45">
        <f t="shared" si="2134"/>
        <v>0</v>
      </c>
      <c r="V400" s="45">
        <f t="shared" si="2134"/>
        <v>14347.449999999999</v>
      </c>
      <c r="W400" s="45">
        <f t="shared" si="2134"/>
        <v>0</v>
      </c>
      <c r="X400" s="50">
        <f t="shared" ref="X400:Y400" si="2135">IF(O400&gt;0,O400/K400,0)</f>
        <v>0</v>
      </c>
      <c r="Y400" s="50">
        <f t="shared" si="2135"/>
        <v>0.13895272040276568</v>
      </c>
      <c r="Z400" s="50">
        <f t="shared" si="1658"/>
        <v>0</v>
      </c>
      <c r="AA400" s="45">
        <f t="shared" ref="AA400:BW400" si="2136">SUM(AA401+AA404)</f>
        <v>0</v>
      </c>
      <c r="AB400" s="45">
        <f t="shared" si="2136"/>
        <v>0</v>
      </c>
      <c r="AC400" s="45">
        <f t="shared" si="2136"/>
        <v>0</v>
      </c>
      <c r="AD400" s="45">
        <f t="shared" si="2136"/>
        <v>0</v>
      </c>
      <c r="AE400" s="45">
        <f t="shared" si="2136"/>
        <v>0</v>
      </c>
      <c r="AF400" s="45">
        <f t="shared" si="2136"/>
        <v>0</v>
      </c>
      <c r="AG400" s="45">
        <f t="shared" si="2136"/>
        <v>0</v>
      </c>
      <c r="AH400" s="45">
        <f t="shared" si="2136"/>
        <v>0</v>
      </c>
      <c r="AI400" s="45">
        <f t="shared" si="2136"/>
        <v>0</v>
      </c>
      <c r="AJ400" s="45">
        <f t="shared" si="2136"/>
        <v>0</v>
      </c>
      <c r="AK400" s="45">
        <f t="shared" si="2136"/>
        <v>0</v>
      </c>
      <c r="AL400" s="45">
        <f t="shared" si="2136"/>
        <v>0</v>
      </c>
      <c r="AM400" s="45">
        <f t="shared" si="2136"/>
        <v>0</v>
      </c>
      <c r="AN400" s="45">
        <f t="shared" si="2136"/>
        <v>2315.34</v>
      </c>
      <c r="AO400" s="45">
        <f t="shared" si="2136"/>
        <v>0</v>
      </c>
      <c r="AP400" s="45">
        <f t="shared" si="2136"/>
        <v>0</v>
      </c>
      <c r="AQ400" s="45">
        <f t="shared" si="2136"/>
        <v>0</v>
      </c>
      <c r="AR400" s="45">
        <f t="shared" si="2136"/>
        <v>0</v>
      </c>
      <c r="AS400" s="45">
        <f t="shared" si="2136"/>
        <v>0</v>
      </c>
      <c r="AT400" s="45">
        <f t="shared" si="2136"/>
        <v>0</v>
      </c>
      <c r="AU400" s="45">
        <f t="shared" si="2136"/>
        <v>0</v>
      </c>
      <c r="AV400" s="45">
        <f t="shared" si="2136"/>
        <v>0</v>
      </c>
      <c r="AW400" s="45">
        <f t="shared" si="2136"/>
        <v>0</v>
      </c>
      <c r="AX400" s="45">
        <f t="shared" si="2136"/>
        <v>0</v>
      </c>
      <c r="AY400" s="45">
        <f t="shared" si="2136"/>
        <v>0</v>
      </c>
      <c r="AZ400" s="45">
        <f t="shared" si="2136"/>
        <v>0</v>
      </c>
      <c r="BA400" s="45">
        <f t="shared" si="2136"/>
        <v>0</v>
      </c>
      <c r="BB400" s="45">
        <f t="shared" si="2136"/>
        <v>0</v>
      </c>
      <c r="BC400" s="45">
        <f t="shared" si="2136"/>
        <v>0</v>
      </c>
      <c r="BD400" s="45">
        <f t="shared" si="2136"/>
        <v>0</v>
      </c>
      <c r="BE400" s="45">
        <f t="shared" si="2136"/>
        <v>0</v>
      </c>
      <c r="BF400" s="45">
        <f t="shared" si="2136"/>
        <v>0</v>
      </c>
      <c r="BG400" s="45">
        <f t="shared" si="2136"/>
        <v>0</v>
      </c>
      <c r="BH400" s="45">
        <f t="shared" si="2136"/>
        <v>0</v>
      </c>
      <c r="BI400" s="45">
        <f t="shared" si="2136"/>
        <v>0</v>
      </c>
      <c r="BJ400" s="45">
        <f t="shared" si="2136"/>
        <v>0</v>
      </c>
      <c r="BK400" s="45">
        <f t="shared" si="2136"/>
        <v>0</v>
      </c>
      <c r="BL400" s="45">
        <f t="shared" si="2136"/>
        <v>0</v>
      </c>
      <c r="BM400" s="45">
        <f t="shared" si="2136"/>
        <v>0</v>
      </c>
      <c r="BN400" s="45">
        <f t="shared" si="2136"/>
        <v>0</v>
      </c>
      <c r="BO400" s="45">
        <f t="shared" si="2136"/>
        <v>0</v>
      </c>
      <c r="BP400" s="45">
        <f t="shared" si="2136"/>
        <v>0</v>
      </c>
      <c r="BQ400" s="45">
        <f t="shared" si="2136"/>
        <v>0</v>
      </c>
      <c r="BR400" s="45">
        <f t="shared" si="2136"/>
        <v>0</v>
      </c>
      <c r="BS400" s="45">
        <f t="shared" si="2136"/>
        <v>0</v>
      </c>
      <c r="BT400" s="45">
        <f t="shared" si="2136"/>
        <v>14347.449999999999</v>
      </c>
      <c r="BU400" s="45">
        <f t="shared" si="2136"/>
        <v>0</v>
      </c>
      <c r="BV400" s="45">
        <f t="shared" si="2136"/>
        <v>0</v>
      </c>
      <c r="BW400" s="45">
        <f t="shared" si="2136"/>
        <v>14347.449999999999</v>
      </c>
      <c r="BX400" s="51"/>
      <c r="BY400" s="51"/>
      <c r="BZ400" s="51"/>
      <c r="CA400" s="51"/>
      <c r="CB400" s="51"/>
      <c r="CC400" s="51"/>
      <c r="CD400" s="51"/>
      <c r="CE400" s="51"/>
      <c r="CF400" s="51"/>
      <c r="CG400" s="51"/>
    </row>
    <row r="401" spans="1:85" ht="15.75">
      <c r="A401" s="217"/>
      <c r="B401" s="218"/>
      <c r="C401" s="219"/>
      <c r="D401" s="220" t="s">
        <v>168</v>
      </c>
      <c r="E401" s="213">
        <f t="shared" ref="E401:H401" si="2137">SUM(E402+E403)</f>
        <v>0</v>
      </c>
      <c r="F401" s="213">
        <f t="shared" si="2137"/>
        <v>0</v>
      </c>
      <c r="G401" s="213">
        <f t="shared" si="2137"/>
        <v>0</v>
      </c>
      <c r="H401" s="213">
        <f t="shared" si="2137"/>
        <v>0</v>
      </c>
      <c r="I401" s="215">
        <f t="shared" si="1582"/>
        <v>0</v>
      </c>
      <c r="J401" s="215">
        <f t="shared" si="1583"/>
        <v>0</v>
      </c>
      <c r="K401" s="213">
        <f t="shared" ref="K401:W401" si="2138">SUM(K402+K403)</f>
        <v>0</v>
      </c>
      <c r="L401" s="213">
        <f t="shared" si="2138"/>
        <v>16662.79</v>
      </c>
      <c r="M401" s="213">
        <f t="shared" si="2138"/>
        <v>0</v>
      </c>
      <c r="N401" s="213">
        <f t="shared" si="2138"/>
        <v>0</v>
      </c>
      <c r="O401" s="213">
        <f t="shared" si="2138"/>
        <v>0</v>
      </c>
      <c r="P401" s="213">
        <f t="shared" si="2138"/>
        <v>2315.34</v>
      </c>
      <c r="Q401" s="213">
        <f t="shared" si="2138"/>
        <v>0</v>
      </c>
      <c r="R401" s="213">
        <f t="shared" si="2138"/>
        <v>0</v>
      </c>
      <c r="S401" s="213">
        <f t="shared" si="2138"/>
        <v>2315.34</v>
      </c>
      <c r="T401" s="213">
        <f t="shared" si="2138"/>
        <v>0</v>
      </c>
      <c r="U401" s="213">
        <f t="shared" si="2138"/>
        <v>0</v>
      </c>
      <c r="V401" s="213">
        <f t="shared" si="2138"/>
        <v>14347.449999999999</v>
      </c>
      <c r="W401" s="213">
        <f t="shared" si="2138"/>
        <v>0</v>
      </c>
      <c r="X401" s="216">
        <f t="shared" ref="X401:Y401" si="2139">IF(O401&gt;0,O401/K401,0)</f>
        <v>0</v>
      </c>
      <c r="Y401" s="216">
        <f t="shared" si="2139"/>
        <v>0.13895272040276568</v>
      </c>
      <c r="Z401" s="216">
        <f t="shared" si="1658"/>
        <v>0</v>
      </c>
      <c r="AA401" s="213">
        <f t="shared" ref="AA401:BW401" si="2140">SUM(AA402+AA403)</f>
        <v>0</v>
      </c>
      <c r="AB401" s="213">
        <f t="shared" si="2140"/>
        <v>0</v>
      </c>
      <c r="AC401" s="213">
        <f t="shared" si="2140"/>
        <v>0</v>
      </c>
      <c r="AD401" s="213">
        <f t="shared" si="2140"/>
        <v>0</v>
      </c>
      <c r="AE401" s="213">
        <f t="shared" si="2140"/>
        <v>0</v>
      </c>
      <c r="AF401" s="213">
        <f t="shared" si="2140"/>
        <v>0</v>
      </c>
      <c r="AG401" s="213">
        <f t="shared" si="2140"/>
        <v>0</v>
      </c>
      <c r="AH401" s="213">
        <f t="shared" si="2140"/>
        <v>0</v>
      </c>
      <c r="AI401" s="213">
        <f t="shared" si="2140"/>
        <v>0</v>
      </c>
      <c r="AJ401" s="213">
        <f t="shared" si="2140"/>
        <v>0</v>
      </c>
      <c r="AK401" s="213">
        <f t="shared" si="2140"/>
        <v>0</v>
      </c>
      <c r="AL401" s="213">
        <f t="shared" si="2140"/>
        <v>0</v>
      </c>
      <c r="AM401" s="213">
        <f t="shared" si="2140"/>
        <v>0</v>
      </c>
      <c r="AN401" s="213">
        <f t="shared" si="2140"/>
        <v>2315.34</v>
      </c>
      <c r="AO401" s="213">
        <f t="shared" si="2140"/>
        <v>0</v>
      </c>
      <c r="AP401" s="213">
        <f t="shared" si="2140"/>
        <v>0</v>
      </c>
      <c r="AQ401" s="213">
        <f t="shared" si="2140"/>
        <v>0</v>
      </c>
      <c r="AR401" s="213">
        <f t="shared" si="2140"/>
        <v>0</v>
      </c>
      <c r="AS401" s="213">
        <f t="shared" si="2140"/>
        <v>0</v>
      </c>
      <c r="AT401" s="213">
        <f t="shared" si="2140"/>
        <v>0</v>
      </c>
      <c r="AU401" s="213">
        <f t="shared" si="2140"/>
        <v>0</v>
      </c>
      <c r="AV401" s="213">
        <f t="shared" si="2140"/>
        <v>0</v>
      </c>
      <c r="AW401" s="213">
        <f t="shared" si="2140"/>
        <v>0</v>
      </c>
      <c r="AX401" s="213">
        <f t="shared" si="2140"/>
        <v>0</v>
      </c>
      <c r="AY401" s="213">
        <f t="shared" si="2140"/>
        <v>0</v>
      </c>
      <c r="AZ401" s="213">
        <f t="shared" si="2140"/>
        <v>0</v>
      </c>
      <c r="BA401" s="213">
        <f t="shared" si="2140"/>
        <v>0</v>
      </c>
      <c r="BB401" s="213">
        <f t="shared" si="2140"/>
        <v>0</v>
      </c>
      <c r="BC401" s="213">
        <f t="shared" si="2140"/>
        <v>0</v>
      </c>
      <c r="BD401" s="213">
        <f t="shared" si="2140"/>
        <v>0</v>
      </c>
      <c r="BE401" s="213">
        <f t="shared" si="2140"/>
        <v>0</v>
      </c>
      <c r="BF401" s="213">
        <f t="shared" si="2140"/>
        <v>0</v>
      </c>
      <c r="BG401" s="213">
        <f t="shared" si="2140"/>
        <v>0</v>
      </c>
      <c r="BH401" s="213">
        <f t="shared" si="2140"/>
        <v>0</v>
      </c>
      <c r="BI401" s="213">
        <f t="shared" si="2140"/>
        <v>0</v>
      </c>
      <c r="BJ401" s="213">
        <f t="shared" si="2140"/>
        <v>0</v>
      </c>
      <c r="BK401" s="213">
        <f t="shared" si="2140"/>
        <v>0</v>
      </c>
      <c r="BL401" s="213">
        <f t="shared" si="2140"/>
        <v>0</v>
      </c>
      <c r="BM401" s="213">
        <f t="shared" si="2140"/>
        <v>0</v>
      </c>
      <c r="BN401" s="213">
        <f t="shared" si="2140"/>
        <v>0</v>
      </c>
      <c r="BO401" s="213">
        <f t="shared" si="2140"/>
        <v>0</v>
      </c>
      <c r="BP401" s="213">
        <f t="shared" si="2140"/>
        <v>0</v>
      </c>
      <c r="BQ401" s="213">
        <f t="shared" si="2140"/>
        <v>0</v>
      </c>
      <c r="BR401" s="213">
        <f t="shared" si="2140"/>
        <v>0</v>
      </c>
      <c r="BS401" s="213">
        <f t="shared" si="2140"/>
        <v>0</v>
      </c>
      <c r="BT401" s="213">
        <f t="shared" si="2140"/>
        <v>14347.449999999999</v>
      </c>
      <c r="BU401" s="213">
        <f t="shared" si="2140"/>
        <v>0</v>
      </c>
      <c r="BV401" s="213">
        <f t="shared" si="2140"/>
        <v>0</v>
      </c>
      <c r="BW401" s="213">
        <f t="shared" si="2140"/>
        <v>14347.449999999999</v>
      </c>
      <c r="BX401" s="51"/>
      <c r="BY401" s="51"/>
      <c r="BZ401" s="51"/>
      <c r="CA401" s="51"/>
      <c r="CB401" s="51"/>
      <c r="CC401" s="51"/>
      <c r="CD401" s="51"/>
      <c r="CE401" s="51"/>
      <c r="CF401" s="51"/>
      <c r="CG401" s="51"/>
    </row>
    <row r="402" spans="1:85" ht="15.75" customHeight="1">
      <c r="A402" s="121"/>
      <c r="B402" s="121" t="s">
        <v>511</v>
      </c>
      <c r="C402" s="68" t="s">
        <v>181</v>
      </c>
      <c r="D402" s="171" t="s">
        <v>512</v>
      </c>
      <c r="E402" s="99">
        <v>0</v>
      </c>
      <c r="F402" s="99">
        <v>0</v>
      </c>
      <c r="G402" s="58">
        <f t="shared" ref="G402:G403" si="2141">E402-F402</f>
        <v>0</v>
      </c>
      <c r="H402" s="99">
        <v>0</v>
      </c>
      <c r="I402" s="340">
        <f t="shared" si="1582"/>
        <v>0</v>
      </c>
      <c r="J402" s="59">
        <f t="shared" si="1583"/>
        <v>0</v>
      </c>
      <c r="K402" s="60">
        <v>0</v>
      </c>
      <c r="L402" s="266">
        <v>8234.1299999999992</v>
      </c>
      <c r="M402" s="100">
        <v>0</v>
      </c>
      <c r="N402" s="60">
        <v>0</v>
      </c>
      <c r="O402" s="61">
        <f t="shared" ref="O402:Q402" si="2142">AA402+AD402+AG402+AJ402+AM402+AP402+AS402+AV402+AY402+BB402+BE402+BH402</f>
        <v>0</v>
      </c>
      <c r="P402" s="61">
        <f t="shared" si="2142"/>
        <v>0</v>
      </c>
      <c r="Q402" s="61">
        <f t="shared" si="2142"/>
        <v>0</v>
      </c>
      <c r="R402" s="61">
        <f t="shared" ref="R402:T402" si="2143">IF(BK402=0,SUM(AA402+AD402+AG402+AJ402+AM402+AP402+AS402+AV402+AY402+BB402+BE402+BH402),BK402)</f>
        <v>0</v>
      </c>
      <c r="S402" s="61">
        <f t="shared" si="2143"/>
        <v>0</v>
      </c>
      <c r="T402" s="61">
        <f t="shared" si="2143"/>
        <v>0</v>
      </c>
      <c r="U402" s="63">
        <f t="shared" ref="U402:U403" si="2144">K402-O402</f>
        <v>0</v>
      </c>
      <c r="V402" s="170">
        <f t="shared" ref="V402:V403" si="2145">L402-M402-S402</f>
        <v>8234.1299999999992</v>
      </c>
      <c r="W402" s="63">
        <f t="shared" ref="W402:W403" si="2146">N402-Q402</f>
        <v>0</v>
      </c>
      <c r="X402" s="64">
        <f t="shared" ref="X402:Y402" si="2147">IF(O402&gt;0,O402/K402,0)</f>
        <v>0</v>
      </c>
      <c r="Y402" s="64">
        <f t="shared" si="2147"/>
        <v>0</v>
      </c>
      <c r="Z402" s="64">
        <f t="shared" si="1658"/>
        <v>0</v>
      </c>
      <c r="AA402" s="65"/>
      <c r="AB402" s="65"/>
      <c r="AC402" s="65"/>
      <c r="AD402" s="65"/>
      <c r="AE402" s="66"/>
      <c r="AF402" s="66"/>
      <c r="AG402" s="66"/>
      <c r="AH402" s="66"/>
      <c r="AI402" s="65"/>
      <c r="AJ402" s="65"/>
      <c r="AK402" s="65"/>
      <c r="AL402" s="65"/>
      <c r="AM402" s="65"/>
      <c r="AN402" s="65"/>
      <c r="AO402" s="65"/>
      <c r="AP402" s="65"/>
      <c r="AQ402" s="65"/>
      <c r="AR402" s="65"/>
      <c r="AS402" s="65"/>
      <c r="AT402" s="65"/>
      <c r="AU402" s="65"/>
      <c r="AV402" s="65"/>
      <c r="AW402" s="65"/>
      <c r="AX402" s="65"/>
      <c r="AY402" s="65"/>
      <c r="AZ402" s="65"/>
      <c r="BA402" s="65"/>
      <c r="BB402" s="65"/>
      <c r="BC402" s="65"/>
      <c r="BD402" s="65"/>
      <c r="BE402" s="65"/>
      <c r="BF402" s="65"/>
      <c r="BG402" s="65"/>
      <c r="BH402" s="65"/>
      <c r="BI402" s="65"/>
      <c r="BJ402" s="65"/>
      <c r="BK402" s="65">
        <v>0</v>
      </c>
      <c r="BL402" s="65">
        <v>0</v>
      </c>
      <c r="BM402" s="65">
        <v>0</v>
      </c>
      <c r="BN402" s="65">
        <f t="shared" ref="BN402:BN403" si="2148">IF(O402-BK402&gt;0,O402-BK402,0)</f>
        <v>0</v>
      </c>
      <c r="BO402" s="67">
        <f t="shared" ref="BO402:BO403" si="2149">IF(Q402-BM402&gt;0,Q402-BM402,0)</f>
        <v>0</v>
      </c>
      <c r="BP402" s="65">
        <f t="shared" ref="BP402:BP403" si="2150">IF(BN402+BO402&gt;0,BN402+BO402,0)</f>
        <v>0</v>
      </c>
      <c r="BQ402" s="65">
        <f t="shared" ref="BQ402:BQ403" si="2151">IF(U402=0,0,U402)</f>
        <v>0</v>
      </c>
      <c r="BR402" s="65">
        <f t="shared" ref="BR402:BR403" si="2152">IF(W402=0,0,W402)</f>
        <v>0</v>
      </c>
      <c r="BS402" s="65">
        <f t="shared" ref="BS402:BS403" si="2153">IF(BQ402+BR402&gt;0,BQ402+BR402,0)</f>
        <v>0</v>
      </c>
      <c r="BT402" s="65">
        <f t="shared" ref="BT402:BT403" si="2154">IF(V402&gt;0,V402,0)</f>
        <v>8234.1299999999992</v>
      </c>
      <c r="BU402" s="65">
        <f t="shared" ref="BU402:BU403" si="2155">IF(BP402=0,0,BP402)</f>
        <v>0</v>
      </c>
      <c r="BV402" s="65">
        <f t="shared" ref="BV402:BV403" si="2156">IF(BS402=0,0,BS402)</f>
        <v>0</v>
      </c>
      <c r="BW402" s="65">
        <f t="shared" ref="BW402:BW403" si="2157">IF(BP402+BT402+BV402&gt;0,BP402+BT402+BV402,0)</f>
        <v>8234.1299999999992</v>
      </c>
      <c r="BX402" s="6"/>
      <c r="BY402" s="6"/>
      <c r="BZ402" s="6"/>
      <c r="CA402" s="6"/>
      <c r="CB402" s="6"/>
      <c r="CC402" s="6"/>
      <c r="CD402" s="6"/>
      <c r="CE402" s="6"/>
      <c r="CF402" s="6"/>
      <c r="CG402" s="6"/>
    </row>
    <row r="403" spans="1:85" ht="15.75" customHeight="1">
      <c r="A403" s="121"/>
      <c r="B403" s="121" t="s">
        <v>513</v>
      </c>
      <c r="C403" s="176" t="s">
        <v>181</v>
      </c>
      <c r="D403" s="171" t="s">
        <v>514</v>
      </c>
      <c r="E403" s="99">
        <v>0</v>
      </c>
      <c r="F403" s="99">
        <v>0</v>
      </c>
      <c r="G403" s="58">
        <f t="shared" si="2141"/>
        <v>0</v>
      </c>
      <c r="H403" s="99">
        <v>0</v>
      </c>
      <c r="I403" s="59">
        <f t="shared" si="1582"/>
        <v>0</v>
      </c>
      <c r="J403" s="59">
        <f t="shared" si="1583"/>
        <v>0</v>
      </c>
      <c r="K403" s="60">
        <v>0</v>
      </c>
      <c r="L403" s="266">
        <v>8428.66</v>
      </c>
      <c r="M403" s="100">
        <v>0</v>
      </c>
      <c r="N403" s="60">
        <v>0</v>
      </c>
      <c r="O403" s="61">
        <f t="shared" ref="O403:Q403" si="2158">AA403+AD403+AG403+AJ403+AM403+AP403+AS403+AV403+AY403+BB403+BE403+BH403</f>
        <v>0</v>
      </c>
      <c r="P403" s="61">
        <f t="shared" si="2158"/>
        <v>2315.34</v>
      </c>
      <c r="Q403" s="61">
        <f t="shared" si="2158"/>
        <v>0</v>
      </c>
      <c r="R403" s="61">
        <f t="shared" ref="R403:T403" si="2159">IF(BK403=0,SUM(AA403+AD403+AG403+AJ403+AM403+AP403+AS403+AV403+AY403+BB403+BE403+BH403),BK403)</f>
        <v>0</v>
      </c>
      <c r="S403" s="61">
        <f t="shared" si="2159"/>
        <v>2315.34</v>
      </c>
      <c r="T403" s="61">
        <f t="shared" si="2159"/>
        <v>0</v>
      </c>
      <c r="U403" s="63">
        <f t="shared" si="2144"/>
        <v>0</v>
      </c>
      <c r="V403" s="170">
        <f t="shared" si="2145"/>
        <v>6113.32</v>
      </c>
      <c r="W403" s="63">
        <f t="shared" si="2146"/>
        <v>0</v>
      </c>
      <c r="X403" s="64">
        <f t="shared" ref="X403:Y403" si="2160">IF(O403&gt;0,O403/K403,0)</f>
        <v>0</v>
      </c>
      <c r="Y403" s="64">
        <f t="shared" si="2160"/>
        <v>0.27469846927032293</v>
      </c>
      <c r="Z403" s="64">
        <f t="shared" si="1658"/>
        <v>0</v>
      </c>
      <c r="AA403" s="65"/>
      <c r="AB403" s="65"/>
      <c r="AC403" s="65"/>
      <c r="AD403" s="65"/>
      <c r="AE403" s="66"/>
      <c r="AF403" s="66"/>
      <c r="AG403" s="66"/>
      <c r="AH403" s="66"/>
      <c r="AI403" s="65"/>
      <c r="AJ403" s="65"/>
      <c r="AK403" s="65"/>
      <c r="AL403" s="65"/>
      <c r="AM403" s="65"/>
      <c r="AN403" s="65">
        <f>2315.34</f>
        <v>2315.34</v>
      </c>
      <c r="AO403" s="65"/>
      <c r="AP403" s="65"/>
      <c r="AQ403" s="65"/>
      <c r="AR403" s="65"/>
      <c r="AS403" s="65"/>
      <c r="AT403" s="65"/>
      <c r="AU403" s="65"/>
      <c r="AV403" s="65"/>
      <c r="AW403" s="65"/>
      <c r="AX403" s="65"/>
      <c r="AY403" s="65"/>
      <c r="AZ403" s="65"/>
      <c r="BA403" s="65"/>
      <c r="BB403" s="65"/>
      <c r="BC403" s="65"/>
      <c r="BD403" s="65"/>
      <c r="BE403" s="65"/>
      <c r="BF403" s="65"/>
      <c r="BG403" s="65"/>
      <c r="BH403" s="65"/>
      <c r="BI403" s="65"/>
      <c r="BJ403" s="65"/>
      <c r="BK403" s="65">
        <v>0</v>
      </c>
      <c r="BL403" s="65">
        <v>0</v>
      </c>
      <c r="BM403" s="65">
        <v>0</v>
      </c>
      <c r="BN403" s="65">
        <f t="shared" si="2148"/>
        <v>0</v>
      </c>
      <c r="BO403" s="67">
        <f t="shared" si="2149"/>
        <v>0</v>
      </c>
      <c r="BP403" s="65">
        <f t="shared" si="2150"/>
        <v>0</v>
      </c>
      <c r="BQ403" s="65">
        <f t="shared" si="2151"/>
        <v>0</v>
      </c>
      <c r="BR403" s="65">
        <f t="shared" si="2152"/>
        <v>0</v>
      </c>
      <c r="BS403" s="65">
        <f t="shared" si="2153"/>
        <v>0</v>
      </c>
      <c r="BT403" s="65">
        <f t="shared" si="2154"/>
        <v>6113.32</v>
      </c>
      <c r="BU403" s="65">
        <f t="shared" si="2155"/>
        <v>0</v>
      </c>
      <c r="BV403" s="65">
        <f t="shared" si="2156"/>
        <v>0</v>
      </c>
      <c r="BW403" s="65">
        <f t="shared" si="2157"/>
        <v>6113.32</v>
      </c>
      <c r="BX403" s="6"/>
      <c r="BY403" s="6"/>
      <c r="BZ403" s="6"/>
      <c r="CA403" s="6"/>
      <c r="CB403" s="6"/>
      <c r="CC403" s="6"/>
      <c r="CD403" s="6"/>
      <c r="CE403" s="6"/>
      <c r="CF403" s="6"/>
      <c r="CG403" s="6"/>
    </row>
    <row r="404" spans="1:85" ht="15.75" customHeight="1">
      <c r="A404" s="341"/>
      <c r="B404" s="342"/>
      <c r="C404" s="343"/>
      <c r="D404" s="220" t="s">
        <v>223</v>
      </c>
      <c r="E404" s="213">
        <f t="shared" ref="E404:H404" si="2161">E405</f>
        <v>0</v>
      </c>
      <c r="F404" s="214">
        <f t="shared" si="2161"/>
        <v>0</v>
      </c>
      <c r="G404" s="214">
        <f t="shared" si="2161"/>
        <v>0</v>
      </c>
      <c r="H404" s="214">
        <f t="shared" si="2161"/>
        <v>0</v>
      </c>
      <c r="I404" s="215">
        <f t="shared" si="1582"/>
        <v>0</v>
      </c>
      <c r="J404" s="215">
        <f t="shared" si="1583"/>
        <v>0</v>
      </c>
      <c r="K404" s="214">
        <f t="shared" ref="K404:W404" si="2162">K405</f>
        <v>0</v>
      </c>
      <c r="L404" s="214">
        <f t="shared" si="2162"/>
        <v>0</v>
      </c>
      <c r="M404" s="214">
        <f t="shared" si="2162"/>
        <v>0</v>
      </c>
      <c r="N404" s="214">
        <f t="shared" si="2162"/>
        <v>0</v>
      </c>
      <c r="O404" s="214">
        <f t="shared" si="2162"/>
        <v>0</v>
      </c>
      <c r="P404" s="214">
        <f t="shared" si="2162"/>
        <v>0</v>
      </c>
      <c r="Q404" s="214">
        <f t="shared" si="2162"/>
        <v>0</v>
      </c>
      <c r="R404" s="214">
        <f t="shared" si="2162"/>
        <v>0</v>
      </c>
      <c r="S404" s="214">
        <f t="shared" si="2162"/>
        <v>0</v>
      </c>
      <c r="T404" s="214">
        <f t="shared" si="2162"/>
        <v>0</v>
      </c>
      <c r="U404" s="214">
        <f t="shared" si="2162"/>
        <v>0</v>
      </c>
      <c r="V404" s="214">
        <f t="shared" si="2162"/>
        <v>0</v>
      </c>
      <c r="W404" s="214">
        <f t="shared" si="2162"/>
        <v>0</v>
      </c>
      <c r="X404" s="216">
        <f t="shared" ref="X404:Y404" si="2163">IF(O404&gt;0,O404/K404,0)</f>
        <v>0</v>
      </c>
      <c r="Y404" s="216">
        <f t="shared" si="2163"/>
        <v>0</v>
      </c>
      <c r="Z404" s="216">
        <f t="shared" si="1658"/>
        <v>0</v>
      </c>
      <c r="AA404" s="214">
        <f t="shared" ref="AA404:BW404" si="2164">AA405</f>
        <v>0</v>
      </c>
      <c r="AB404" s="214">
        <f t="shared" si="2164"/>
        <v>0</v>
      </c>
      <c r="AC404" s="214">
        <f t="shared" si="2164"/>
        <v>0</v>
      </c>
      <c r="AD404" s="214">
        <f t="shared" si="2164"/>
        <v>0</v>
      </c>
      <c r="AE404" s="214">
        <f t="shared" si="2164"/>
        <v>0</v>
      </c>
      <c r="AF404" s="214">
        <f t="shared" si="2164"/>
        <v>0</v>
      </c>
      <c r="AG404" s="214">
        <f t="shared" si="2164"/>
        <v>0</v>
      </c>
      <c r="AH404" s="214">
        <f t="shared" si="2164"/>
        <v>0</v>
      </c>
      <c r="AI404" s="214">
        <f t="shared" si="2164"/>
        <v>0</v>
      </c>
      <c r="AJ404" s="214">
        <f t="shared" si="2164"/>
        <v>0</v>
      </c>
      <c r="AK404" s="214">
        <f t="shared" si="2164"/>
        <v>0</v>
      </c>
      <c r="AL404" s="214">
        <f t="shared" si="2164"/>
        <v>0</v>
      </c>
      <c r="AM404" s="214">
        <f t="shared" si="2164"/>
        <v>0</v>
      </c>
      <c r="AN404" s="214">
        <f t="shared" si="2164"/>
        <v>0</v>
      </c>
      <c r="AO404" s="214">
        <f t="shared" si="2164"/>
        <v>0</v>
      </c>
      <c r="AP404" s="214">
        <f t="shared" si="2164"/>
        <v>0</v>
      </c>
      <c r="AQ404" s="214">
        <f t="shared" si="2164"/>
        <v>0</v>
      </c>
      <c r="AR404" s="214">
        <f t="shared" si="2164"/>
        <v>0</v>
      </c>
      <c r="AS404" s="214">
        <f t="shared" si="2164"/>
        <v>0</v>
      </c>
      <c r="AT404" s="214">
        <f t="shared" si="2164"/>
        <v>0</v>
      </c>
      <c r="AU404" s="214">
        <f t="shared" si="2164"/>
        <v>0</v>
      </c>
      <c r="AV404" s="214">
        <f t="shared" si="2164"/>
        <v>0</v>
      </c>
      <c r="AW404" s="214">
        <f t="shared" si="2164"/>
        <v>0</v>
      </c>
      <c r="AX404" s="214">
        <f t="shared" si="2164"/>
        <v>0</v>
      </c>
      <c r="AY404" s="214">
        <f t="shared" si="2164"/>
        <v>0</v>
      </c>
      <c r="AZ404" s="214">
        <f t="shared" si="2164"/>
        <v>0</v>
      </c>
      <c r="BA404" s="214">
        <f t="shared" si="2164"/>
        <v>0</v>
      </c>
      <c r="BB404" s="214">
        <f t="shared" si="2164"/>
        <v>0</v>
      </c>
      <c r="BC404" s="214">
        <f t="shared" si="2164"/>
        <v>0</v>
      </c>
      <c r="BD404" s="214">
        <f t="shared" si="2164"/>
        <v>0</v>
      </c>
      <c r="BE404" s="214">
        <f t="shared" si="2164"/>
        <v>0</v>
      </c>
      <c r="BF404" s="214">
        <f t="shared" si="2164"/>
        <v>0</v>
      </c>
      <c r="BG404" s="214">
        <f t="shared" si="2164"/>
        <v>0</v>
      </c>
      <c r="BH404" s="214">
        <f t="shared" si="2164"/>
        <v>0</v>
      </c>
      <c r="BI404" s="214">
        <f t="shared" si="2164"/>
        <v>0</v>
      </c>
      <c r="BJ404" s="214">
        <f t="shared" si="2164"/>
        <v>0</v>
      </c>
      <c r="BK404" s="214">
        <f t="shared" si="2164"/>
        <v>0</v>
      </c>
      <c r="BL404" s="214">
        <f t="shared" si="2164"/>
        <v>0</v>
      </c>
      <c r="BM404" s="214">
        <f t="shared" si="2164"/>
        <v>0</v>
      </c>
      <c r="BN404" s="214">
        <f t="shared" si="2164"/>
        <v>0</v>
      </c>
      <c r="BO404" s="214">
        <f t="shared" si="2164"/>
        <v>0</v>
      </c>
      <c r="BP404" s="214">
        <f t="shared" si="2164"/>
        <v>0</v>
      </c>
      <c r="BQ404" s="214">
        <f t="shared" si="2164"/>
        <v>0</v>
      </c>
      <c r="BR404" s="214">
        <f t="shared" si="2164"/>
        <v>0</v>
      </c>
      <c r="BS404" s="214">
        <f t="shared" si="2164"/>
        <v>0</v>
      </c>
      <c r="BT404" s="214">
        <f t="shared" si="2164"/>
        <v>0</v>
      </c>
      <c r="BU404" s="214">
        <f t="shared" si="2164"/>
        <v>0</v>
      </c>
      <c r="BV404" s="214">
        <f t="shared" si="2164"/>
        <v>0</v>
      </c>
      <c r="BW404" s="214">
        <f t="shared" si="2164"/>
        <v>0</v>
      </c>
      <c r="BX404" s="6"/>
      <c r="BY404" s="6"/>
      <c r="BZ404" s="6"/>
      <c r="CA404" s="6"/>
      <c r="CB404" s="6"/>
      <c r="CC404" s="6"/>
      <c r="CD404" s="6"/>
      <c r="CE404" s="6"/>
      <c r="CF404" s="6"/>
      <c r="CG404" s="6"/>
    </row>
    <row r="405" spans="1:85" ht="15.75" customHeight="1">
      <c r="A405" s="196"/>
      <c r="B405" s="169"/>
      <c r="C405" s="68" t="s">
        <v>224</v>
      </c>
      <c r="D405" s="70" t="s">
        <v>515</v>
      </c>
      <c r="E405" s="99">
        <v>0</v>
      </c>
      <c r="F405" s="99">
        <v>0</v>
      </c>
      <c r="G405" s="58">
        <f>E405-F405</f>
        <v>0</v>
      </c>
      <c r="H405" s="99">
        <v>0</v>
      </c>
      <c r="I405" s="59">
        <f t="shared" si="1582"/>
        <v>0</v>
      </c>
      <c r="J405" s="59">
        <f t="shared" si="1583"/>
        <v>0</v>
      </c>
      <c r="K405" s="74">
        <v>0</v>
      </c>
      <c r="L405" s="74">
        <v>0</v>
      </c>
      <c r="M405" s="74">
        <v>0</v>
      </c>
      <c r="N405" s="74">
        <v>0</v>
      </c>
      <c r="O405" s="61">
        <f t="shared" ref="O405:Q405" si="2165">AA405+AD405+AG405+AJ405+AM405+AP405+AS405+AV405+AY405+BB405+BE405+BH405</f>
        <v>0</v>
      </c>
      <c r="P405" s="61">
        <f t="shared" si="2165"/>
        <v>0</v>
      </c>
      <c r="Q405" s="61">
        <f t="shared" si="2165"/>
        <v>0</v>
      </c>
      <c r="R405" s="61">
        <f t="shared" ref="R405:T405" si="2166">IF(BK405=0,SUM(AA405+AD405+AG405+AJ405+AM405+AP405+AS405+AV405+AY405+BB405+BE405+BH405),BK405)</f>
        <v>0</v>
      </c>
      <c r="S405" s="61">
        <f t="shared" si="2166"/>
        <v>0</v>
      </c>
      <c r="T405" s="61">
        <f t="shared" si="2166"/>
        <v>0</v>
      </c>
      <c r="U405" s="63">
        <f>K405-O405</f>
        <v>0</v>
      </c>
      <c r="V405" s="63">
        <f>L405-M405-S405</f>
        <v>0</v>
      </c>
      <c r="W405" s="208">
        <f>N405-Q405</f>
        <v>0</v>
      </c>
      <c r="X405" s="64">
        <f t="shared" ref="X405:Y405" si="2167">IF(O405&gt;0,O405/K405,0)</f>
        <v>0</v>
      </c>
      <c r="Y405" s="64">
        <f t="shared" si="2167"/>
        <v>0</v>
      </c>
      <c r="Z405" s="64">
        <f t="shared" si="1658"/>
        <v>0</v>
      </c>
      <c r="AA405" s="65"/>
      <c r="AB405" s="65"/>
      <c r="AC405" s="65"/>
      <c r="AD405" s="65"/>
      <c r="AE405" s="66"/>
      <c r="AF405" s="66"/>
      <c r="AG405" s="66"/>
      <c r="AH405" s="66"/>
      <c r="AI405" s="65"/>
      <c r="AJ405" s="65"/>
      <c r="AK405" s="65"/>
      <c r="AL405" s="65"/>
      <c r="AM405" s="65"/>
      <c r="AN405" s="65"/>
      <c r="AO405" s="65"/>
      <c r="AP405" s="65"/>
      <c r="AQ405" s="65"/>
      <c r="AR405" s="65"/>
      <c r="AS405" s="65"/>
      <c r="AT405" s="65"/>
      <c r="AU405" s="65"/>
      <c r="AV405" s="65"/>
      <c r="AW405" s="65"/>
      <c r="AX405" s="65"/>
      <c r="AY405" s="65"/>
      <c r="AZ405" s="65"/>
      <c r="BA405" s="65"/>
      <c r="BB405" s="65"/>
      <c r="BC405" s="65"/>
      <c r="BD405" s="65"/>
      <c r="BE405" s="65"/>
      <c r="BF405" s="65"/>
      <c r="BG405" s="65"/>
      <c r="BH405" s="65"/>
      <c r="BI405" s="65"/>
      <c r="BJ405" s="65"/>
      <c r="BK405" s="65">
        <v>0</v>
      </c>
      <c r="BL405" s="65">
        <v>0</v>
      </c>
      <c r="BM405" s="65">
        <v>0</v>
      </c>
      <c r="BN405" s="65">
        <f>IF(O405-BK405&gt;0,O405-BK405,0)</f>
        <v>0</v>
      </c>
      <c r="BO405" s="67">
        <f>IF(Q405-BM405&gt;0,Q405-BM405,0)</f>
        <v>0</v>
      </c>
      <c r="BP405" s="65">
        <f>IF(BN405+BO405&gt;0,BN405+BO405,0)</f>
        <v>0</v>
      </c>
      <c r="BQ405" s="65">
        <f>IF(U405=0,0,U405)</f>
        <v>0</v>
      </c>
      <c r="BR405" s="65">
        <f>IF(W405=0,0,W405)</f>
        <v>0</v>
      </c>
      <c r="BS405" s="65">
        <f>IF(BQ405+BR405&gt;0,BQ405+BR405,0)</f>
        <v>0</v>
      </c>
      <c r="BT405" s="65">
        <f>IF(V405&gt;0,V405,0)</f>
        <v>0</v>
      </c>
      <c r="BU405" s="65">
        <f>IF(BP405=0,0,BP405)</f>
        <v>0</v>
      </c>
      <c r="BV405" s="65">
        <f>IF(BS405=0,0,BS405)</f>
        <v>0</v>
      </c>
      <c r="BW405" s="65">
        <f>IF(BP405+BT405+BV405&gt;0,BP405+BT405+BV405,0)</f>
        <v>0</v>
      </c>
      <c r="BX405" s="6"/>
      <c r="BY405" s="6"/>
      <c r="BZ405" s="6"/>
      <c r="CA405" s="6"/>
      <c r="CB405" s="6"/>
      <c r="CC405" s="6"/>
      <c r="CD405" s="6"/>
      <c r="CE405" s="6"/>
      <c r="CF405" s="6"/>
      <c r="CG405" s="6"/>
    </row>
    <row r="406" spans="1:85" ht="15.75" customHeight="1">
      <c r="A406" s="325"/>
      <c r="B406" s="338"/>
      <c r="C406" s="327"/>
      <c r="D406" s="328" t="s">
        <v>516</v>
      </c>
      <c r="E406" s="329">
        <f t="shared" ref="E406:H406" si="2168">E407+E418</f>
        <v>0</v>
      </c>
      <c r="F406" s="344">
        <f t="shared" si="2168"/>
        <v>0</v>
      </c>
      <c r="G406" s="344">
        <f t="shared" si="2168"/>
        <v>0</v>
      </c>
      <c r="H406" s="344">
        <f t="shared" si="2168"/>
        <v>658100</v>
      </c>
      <c r="I406" s="330">
        <f t="shared" si="1582"/>
        <v>0</v>
      </c>
      <c r="J406" s="330">
        <f t="shared" si="1583"/>
        <v>0</v>
      </c>
      <c r="K406" s="344">
        <f t="shared" ref="K406:W406" si="2169">K407+K418</f>
        <v>0</v>
      </c>
      <c r="L406" s="344">
        <f t="shared" si="2169"/>
        <v>0</v>
      </c>
      <c r="M406" s="344">
        <f t="shared" si="2169"/>
        <v>0</v>
      </c>
      <c r="N406" s="344">
        <f t="shared" si="2169"/>
        <v>725293</v>
      </c>
      <c r="O406" s="344">
        <f t="shared" si="2169"/>
        <v>0</v>
      </c>
      <c r="P406" s="344">
        <f t="shared" si="2169"/>
        <v>0</v>
      </c>
      <c r="Q406" s="344">
        <f t="shared" si="2169"/>
        <v>195346</v>
      </c>
      <c r="R406" s="344">
        <f t="shared" si="2169"/>
        <v>0</v>
      </c>
      <c r="S406" s="344">
        <f t="shared" si="2169"/>
        <v>0</v>
      </c>
      <c r="T406" s="344">
        <f t="shared" si="2169"/>
        <v>195346</v>
      </c>
      <c r="U406" s="344">
        <f t="shared" si="2169"/>
        <v>0</v>
      </c>
      <c r="V406" s="344">
        <f t="shared" si="2169"/>
        <v>0</v>
      </c>
      <c r="W406" s="344">
        <f t="shared" si="2169"/>
        <v>529947</v>
      </c>
      <c r="X406" s="339">
        <f t="shared" ref="X406:Y406" si="2170">IF(O406&gt;0,O406/K406,0)</f>
        <v>0</v>
      </c>
      <c r="Y406" s="339">
        <f t="shared" si="2170"/>
        <v>0</v>
      </c>
      <c r="Z406" s="339">
        <f t="shared" si="1658"/>
        <v>0.26933391057131395</v>
      </c>
      <c r="AA406" s="344">
        <f t="shared" ref="AA406:BW406" si="2171">AA407+AA418</f>
        <v>0</v>
      </c>
      <c r="AB406" s="344">
        <f t="shared" si="2171"/>
        <v>0</v>
      </c>
      <c r="AC406" s="344">
        <f t="shared" si="2171"/>
        <v>0</v>
      </c>
      <c r="AD406" s="344">
        <f t="shared" si="2171"/>
        <v>0</v>
      </c>
      <c r="AE406" s="344">
        <f t="shared" si="2171"/>
        <v>0</v>
      </c>
      <c r="AF406" s="344">
        <f t="shared" si="2171"/>
        <v>0</v>
      </c>
      <c r="AG406" s="344">
        <f t="shared" si="2171"/>
        <v>0</v>
      </c>
      <c r="AH406" s="344">
        <f t="shared" si="2171"/>
        <v>0</v>
      </c>
      <c r="AI406" s="344">
        <f t="shared" si="2171"/>
        <v>40380</v>
      </c>
      <c r="AJ406" s="344">
        <f t="shared" si="2171"/>
        <v>0</v>
      </c>
      <c r="AK406" s="344">
        <f t="shared" si="2171"/>
        <v>0</v>
      </c>
      <c r="AL406" s="344">
        <f t="shared" si="2171"/>
        <v>42984</v>
      </c>
      <c r="AM406" s="344">
        <f t="shared" si="2171"/>
        <v>0</v>
      </c>
      <c r="AN406" s="344">
        <f t="shared" si="2171"/>
        <v>0</v>
      </c>
      <c r="AO406" s="344">
        <f t="shared" si="2171"/>
        <v>40516</v>
      </c>
      <c r="AP406" s="344">
        <f t="shared" si="2171"/>
        <v>0</v>
      </c>
      <c r="AQ406" s="344">
        <f t="shared" si="2171"/>
        <v>0</v>
      </c>
      <c r="AR406" s="344">
        <f t="shared" si="2171"/>
        <v>71466</v>
      </c>
      <c r="AS406" s="344">
        <f t="shared" si="2171"/>
        <v>0</v>
      </c>
      <c r="AT406" s="344">
        <f t="shared" si="2171"/>
        <v>0</v>
      </c>
      <c r="AU406" s="344">
        <f t="shared" si="2171"/>
        <v>0</v>
      </c>
      <c r="AV406" s="344">
        <f t="shared" si="2171"/>
        <v>0</v>
      </c>
      <c r="AW406" s="344">
        <f t="shared" si="2171"/>
        <v>0</v>
      </c>
      <c r="AX406" s="344">
        <f t="shared" si="2171"/>
        <v>0</v>
      </c>
      <c r="AY406" s="344">
        <f t="shared" si="2171"/>
        <v>0</v>
      </c>
      <c r="AZ406" s="344">
        <f t="shared" si="2171"/>
        <v>0</v>
      </c>
      <c r="BA406" s="344">
        <f t="shared" si="2171"/>
        <v>0</v>
      </c>
      <c r="BB406" s="344">
        <f t="shared" si="2171"/>
        <v>0</v>
      </c>
      <c r="BC406" s="344">
        <f t="shared" si="2171"/>
        <v>0</v>
      </c>
      <c r="BD406" s="344">
        <f t="shared" si="2171"/>
        <v>0</v>
      </c>
      <c r="BE406" s="344">
        <f t="shared" si="2171"/>
        <v>0</v>
      </c>
      <c r="BF406" s="344">
        <f t="shared" si="2171"/>
        <v>0</v>
      </c>
      <c r="BG406" s="344">
        <f t="shared" si="2171"/>
        <v>0</v>
      </c>
      <c r="BH406" s="344">
        <f t="shared" si="2171"/>
        <v>0</v>
      </c>
      <c r="BI406" s="344">
        <f t="shared" si="2171"/>
        <v>0</v>
      </c>
      <c r="BJ406" s="344">
        <f t="shared" si="2171"/>
        <v>0</v>
      </c>
      <c r="BK406" s="344">
        <f t="shared" si="2171"/>
        <v>0</v>
      </c>
      <c r="BL406" s="344">
        <f t="shared" si="2171"/>
        <v>0</v>
      </c>
      <c r="BM406" s="344">
        <f t="shared" si="2171"/>
        <v>0</v>
      </c>
      <c r="BN406" s="344">
        <f t="shared" si="2171"/>
        <v>0</v>
      </c>
      <c r="BO406" s="344">
        <f t="shared" si="2171"/>
        <v>195346</v>
      </c>
      <c r="BP406" s="344">
        <f t="shared" si="2171"/>
        <v>195346</v>
      </c>
      <c r="BQ406" s="344">
        <f t="shared" si="2171"/>
        <v>0</v>
      </c>
      <c r="BR406" s="344">
        <f t="shared" si="2171"/>
        <v>529947</v>
      </c>
      <c r="BS406" s="344">
        <f t="shared" si="2171"/>
        <v>529947</v>
      </c>
      <c r="BT406" s="344">
        <f t="shared" si="2171"/>
        <v>0</v>
      </c>
      <c r="BU406" s="344">
        <f t="shared" si="2171"/>
        <v>195346</v>
      </c>
      <c r="BV406" s="344">
        <f t="shared" si="2171"/>
        <v>529947</v>
      </c>
      <c r="BW406" s="344">
        <f t="shared" si="2171"/>
        <v>725293</v>
      </c>
      <c r="BX406" s="6"/>
      <c r="BY406" s="6"/>
      <c r="BZ406" s="6"/>
      <c r="CA406" s="6"/>
      <c r="CB406" s="6"/>
      <c r="CC406" s="6"/>
      <c r="CD406" s="6"/>
      <c r="CE406" s="6"/>
      <c r="CF406" s="6"/>
      <c r="CG406" s="6"/>
    </row>
    <row r="407" spans="1:85" ht="15.75">
      <c r="A407" s="41"/>
      <c r="B407" s="42"/>
      <c r="C407" s="43"/>
      <c r="D407" s="44" t="s">
        <v>467</v>
      </c>
      <c r="E407" s="45">
        <f t="shared" ref="E407:H407" si="2172">SUM(E408:E417)</f>
        <v>0</v>
      </c>
      <c r="F407" s="45">
        <f t="shared" si="2172"/>
        <v>0</v>
      </c>
      <c r="G407" s="45">
        <f t="shared" si="2172"/>
        <v>0</v>
      </c>
      <c r="H407" s="45">
        <f t="shared" si="2172"/>
        <v>658100</v>
      </c>
      <c r="I407" s="47">
        <f t="shared" si="1582"/>
        <v>0</v>
      </c>
      <c r="J407" s="47">
        <f t="shared" si="1583"/>
        <v>0</v>
      </c>
      <c r="K407" s="45">
        <f t="shared" ref="K407:W407" si="2173">SUM(K408:K417)</f>
        <v>0</v>
      </c>
      <c r="L407" s="45">
        <f t="shared" si="2173"/>
        <v>0</v>
      </c>
      <c r="M407" s="45">
        <f t="shared" si="2173"/>
        <v>0</v>
      </c>
      <c r="N407" s="45">
        <f t="shared" si="2173"/>
        <v>725293</v>
      </c>
      <c r="O407" s="45">
        <f t="shared" si="2173"/>
        <v>0</v>
      </c>
      <c r="P407" s="45">
        <f t="shared" si="2173"/>
        <v>0</v>
      </c>
      <c r="Q407" s="45">
        <f t="shared" si="2173"/>
        <v>195346</v>
      </c>
      <c r="R407" s="45">
        <f t="shared" si="2173"/>
        <v>0</v>
      </c>
      <c r="S407" s="45">
        <f t="shared" si="2173"/>
        <v>0</v>
      </c>
      <c r="T407" s="45">
        <f t="shared" si="2173"/>
        <v>195346</v>
      </c>
      <c r="U407" s="45">
        <f t="shared" si="2173"/>
        <v>0</v>
      </c>
      <c r="V407" s="45">
        <f t="shared" si="2173"/>
        <v>0</v>
      </c>
      <c r="W407" s="45">
        <f t="shared" si="2173"/>
        <v>529947</v>
      </c>
      <c r="X407" s="50">
        <f t="shared" ref="X407:Y407" si="2174">IF(O407&gt;0,O407/K407,0)</f>
        <v>0</v>
      </c>
      <c r="Y407" s="50">
        <f t="shared" si="2174"/>
        <v>0</v>
      </c>
      <c r="Z407" s="50">
        <f t="shared" si="1658"/>
        <v>0.26933391057131395</v>
      </c>
      <c r="AA407" s="45">
        <f t="shared" ref="AA407:BW407" si="2175">SUM(AA408:AA417)</f>
        <v>0</v>
      </c>
      <c r="AB407" s="45">
        <f t="shared" si="2175"/>
        <v>0</v>
      </c>
      <c r="AC407" s="45">
        <f t="shared" si="2175"/>
        <v>0</v>
      </c>
      <c r="AD407" s="45">
        <f t="shared" si="2175"/>
        <v>0</v>
      </c>
      <c r="AE407" s="45">
        <f t="shared" si="2175"/>
        <v>0</v>
      </c>
      <c r="AF407" s="45">
        <f t="shared" si="2175"/>
        <v>0</v>
      </c>
      <c r="AG407" s="45">
        <f t="shared" si="2175"/>
        <v>0</v>
      </c>
      <c r="AH407" s="45">
        <f t="shared" si="2175"/>
        <v>0</v>
      </c>
      <c r="AI407" s="45">
        <f t="shared" si="2175"/>
        <v>40380</v>
      </c>
      <c r="AJ407" s="45">
        <f t="shared" si="2175"/>
        <v>0</v>
      </c>
      <c r="AK407" s="45">
        <f t="shared" si="2175"/>
        <v>0</v>
      </c>
      <c r="AL407" s="45">
        <f t="shared" si="2175"/>
        <v>42984</v>
      </c>
      <c r="AM407" s="45">
        <f t="shared" si="2175"/>
        <v>0</v>
      </c>
      <c r="AN407" s="45">
        <f t="shared" si="2175"/>
        <v>0</v>
      </c>
      <c r="AO407" s="45">
        <f t="shared" si="2175"/>
        <v>40516</v>
      </c>
      <c r="AP407" s="45">
        <f t="shared" si="2175"/>
        <v>0</v>
      </c>
      <c r="AQ407" s="45">
        <f t="shared" si="2175"/>
        <v>0</v>
      </c>
      <c r="AR407" s="45">
        <f t="shared" si="2175"/>
        <v>71466</v>
      </c>
      <c r="AS407" s="45">
        <f t="shared" si="2175"/>
        <v>0</v>
      </c>
      <c r="AT407" s="45">
        <f t="shared" si="2175"/>
        <v>0</v>
      </c>
      <c r="AU407" s="45">
        <f t="shared" si="2175"/>
        <v>0</v>
      </c>
      <c r="AV407" s="45">
        <f t="shared" si="2175"/>
        <v>0</v>
      </c>
      <c r="AW407" s="45">
        <f t="shared" si="2175"/>
        <v>0</v>
      </c>
      <c r="AX407" s="45">
        <f t="shared" si="2175"/>
        <v>0</v>
      </c>
      <c r="AY407" s="45">
        <f t="shared" si="2175"/>
        <v>0</v>
      </c>
      <c r="AZ407" s="45">
        <f t="shared" si="2175"/>
        <v>0</v>
      </c>
      <c r="BA407" s="45">
        <f t="shared" si="2175"/>
        <v>0</v>
      </c>
      <c r="BB407" s="45">
        <f t="shared" si="2175"/>
        <v>0</v>
      </c>
      <c r="BC407" s="45">
        <f t="shared" si="2175"/>
        <v>0</v>
      </c>
      <c r="BD407" s="45">
        <f t="shared" si="2175"/>
        <v>0</v>
      </c>
      <c r="BE407" s="45">
        <f t="shared" si="2175"/>
        <v>0</v>
      </c>
      <c r="BF407" s="45">
        <f t="shared" si="2175"/>
        <v>0</v>
      </c>
      <c r="BG407" s="45">
        <f t="shared" si="2175"/>
        <v>0</v>
      </c>
      <c r="BH407" s="45">
        <f t="shared" si="2175"/>
        <v>0</v>
      </c>
      <c r="BI407" s="45">
        <f t="shared" si="2175"/>
        <v>0</v>
      </c>
      <c r="BJ407" s="45">
        <f t="shared" si="2175"/>
        <v>0</v>
      </c>
      <c r="BK407" s="45">
        <f t="shared" si="2175"/>
        <v>0</v>
      </c>
      <c r="BL407" s="45">
        <f t="shared" si="2175"/>
        <v>0</v>
      </c>
      <c r="BM407" s="45">
        <f t="shared" si="2175"/>
        <v>0</v>
      </c>
      <c r="BN407" s="45">
        <f t="shared" si="2175"/>
        <v>0</v>
      </c>
      <c r="BO407" s="45">
        <f t="shared" si="2175"/>
        <v>195346</v>
      </c>
      <c r="BP407" s="45">
        <f t="shared" si="2175"/>
        <v>195346</v>
      </c>
      <c r="BQ407" s="45">
        <f t="shared" si="2175"/>
        <v>0</v>
      </c>
      <c r="BR407" s="45">
        <f t="shared" si="2175"/>
        <v>529947</v>
      </c>
      <c r="BS407" s="45">
        <f t="shared" si="2175"/>
        <v>529947</v>
      </c>
      <c r="BT407" s="45">
        <f t="shared" si="2175"/>
        <v>0</v>
      </c>
      <c r="BU407" s="45">
        <f t="shared" si="2175"/>
        <v>195346</v>
      </c>
      <c r="BV407" s="45">
        <f t="shared" si="2175"/>
        <v>529947</v>
      </c>
      <c r="BW407" s="45">
        <f t="shared" si="2175"/>
        <v>725293</v>
      </c>
      <c r="BX407" s="51"/>
      <c r="BY407" s="51"/>
      <c r="BZ407" s="51"/>
      <c r="CA407" s="51"/>
      <c r="CB407" s="51"/>
      <c r="CC407" s="51"/>
      <c r="CD407" s="51"/>
      <c r="CE407" s="51"/>
      <c r="CF407" s="51"/>
      <c r="CG407" s="51"/>
    </row>
    <row r="408" spans="1:85" ht="15.75" customHeight="1">
      <c r="A408" s="185" t="s">
        <v>517</v>
      </c>
      <c r="B408" s="69"/>
      <c r="C408" s="68" t="s">
        <v>430</v>
      </c>
      <c r="D408" s="335" t="s">
        <v>490</v>
      </c>
      <c r="E408" s="99">
        <v>0</v>
      </c>
      <c r="F408" s="99">
        <v>0</v>
      </c>
      <c r="G408" s="58">
        <f t="shared" ref="G408:G417" si="2176">E408-F408</f>
        <v>0</v>
      </c>
      <c r="H408" s="56">
        <v>69300</v>
      </c>
      <c r="I408" s="59">
        <f t="shared" si="1582"/>
        <v>0</v>
      </c>
      <c r="J408" s="59">
        <f t="shared" si="1583"/>
        <v>0</v>
      </c>
      <c r="K408" s="74">
        <v>0</v>
      </c>
      <c r="L408" s="74">
        <v>0</v>
      </c>
      <c r="M408" s="74">
        <v>0</v>
      </c>
      <c r="N408" s="74">
        <f>43200+150493-200-120833</f>
        <v>72660</v>
      </c>
      <c r="O408" s="61">
        <f t="shared" ref="O408:Q408" si="2177">AA408+AD408+AG408+AJ408+AM408+AP408+AS408+AV408+AY408+BB408+BE408+BH408</f>
        <v>0</v>
      </c>
      <c r="P408" s="61">
        <f t="shared" si="2177"/>
        <v>0</v>
      </c>
      <c r="Q408" s="170">
        <f t="shared" si="2177"/>
        <v>20306</v>
      </c>
      <c r="R408" s="61">
        <f t="shared" ref="R408:T408" si="2178">IF(BK408=0,SUM(AA408+AD408+AG408+AJ408+AM408+AP408+AS408+AV408+AY408+BB408+BE408+BH408),BK408)</f>
        <v>0</v>
      </c>
      <c r="S408" s="61">
        <f t="shared" si="2178"/>
        <v>0</v>
      </c>
      <c r="T408" s="61">
        <f t="shared" si="2178"/>
        <v>20306</v>
      </c>
      <c r="U408" s="63">
        <f t="shared" ref="U408:U417" si="2179">K408-O408</f>
        <v>0</v>
      </c>
      <c r="V408" s="63">
        <f t="shared" ref="V408:V417" si="2180">L408-M408-S408</f>
        <v>0</v>
      </c>
      <c r="W408" s="62">
        <f t="shared" ref="W408:W417" si="2181">N408-Q408</f>
        <v>52354</v>
      </c>
      <c r="X408" s="64">
        <f t="shared" ref="X408:Y408" si="2182">IF(O408&gt;0,O408/K408,0)</f>
        <v>0</v>
      </c>
      <c r="Y408" s="64">
        <f t="shared" si="2182"/>
        <v>0</v>
      </c>
      <c r="Z408" s="64">
        <f t="shared" si="1658"/>
        <v>0.27946600605560146</v>
      </c>
      <c r="AA408" s="65"/>
      <c r="AB408" s="65"/>
      <c r="AC408" s="65"/>
      <c r="AD408" s="65"/>
      <c r="AE408" s="66"/>
      <c r="AF408" s="66"/>
      <c r="AG408" s="66"/>
      <c r="AH408" s="66"/>
      <c r="AI408" s="65">
        <f>540+4800</f>
        <v>5340</v>
      </c>
      <c r="AJ408" s="65"/>
      <c r="AK408" s="65"/>
      <c r="AL408" s="65">
        <f>300+924+300+3300</f>
        <v>4824</v>
      </c>
      <c r="AM408" s="65"/>
      <c r="AN408" s="65"/>
      <c r="AO408" s="65">
        <f>300+3600+1056</f>
        <v>4956</v>
      </c>
      <c r="AP408" s="65"/>
      <c r="AQ408" s="65"/>
      <c r="AR408" s="65">
        <f>1956+3230</f>
        <v>5186</v>
      </c>
      <c r="AS408" s="65"/>
      <c r="AT408" s="65"/>
      <c r="AU408" s="65"/>
      <c r="AV408" s="65"/>
      <c r="AW408" s="65"/>
      <c r="AX408" s="65"/>
      <c r="AY408" s="65"/>
      <c r="AZ408" s="65"/>
      <c r="BA408" s="65"/>
      <c r="BB408" s="65"/>
      <c r="BC408" s="65"/>
      <c r="BD408" s="65"/>
      <c r="BE408" s="65"/>
      <c r="BF408" s="65"/>
      <c r="BG408" s="65"/>
      <c r="BH408" s="65"/>
      <c r="BI408" s="65"/>
      <c r="BJ408" s="65"/>
      <c r="BK408" s="65">
        <v>0</v>
      </c>
      <c r="BL408" s="65">
        <v>0</v>
      </c>
      <c r="BM408" s="65">
        <v>0</v>
      </c>
      <c r="BN408" s="65">
        <f t="shared" ref="BN408:BN417" si="2183">IF(O408-BK408&gt;0,O408-BK408,0)</f>
        <v>0</v>
      </c>
      <c r="BO408" s="67">
        <f t="shared" ref="BO408:BO417" si="2184">IF(Q408-BM408&gt;0,Q408-BM408,0)</f>
        <v>20306</v>
      </c>
      <c r="BP408" s="65">
        <f t="shared" ref="BP408:BP417" si="2185">IF(BN408+BO408&gt;0,BN408+BO408,0)</f>
        <v>20306</v>
      </c>
      <c r="BQ408" s="65">
        <f t="shared" ref="BQ408:BQ417" si="2186">IF(U408=0,0,U408)</f>
        <v>0</v>
      </c>
      <c r="BR408" s="65">
        <f t="shared" ref="BR408:BR417" si="2187">IF(W408=0,0,W408)</f>
        <v>52354</v>
      </c>
      <c r="BS408" s="65">
        <f t="shared" ref="BS408:BS417" si="2188">IF(BQ408+BR408&gt;0,BQ408+BR408,0)</f>
        <v>52354</v>
      </c>
      <c r="BT408" s="65">
        <f t="shared" ref="BT408:BT417" si="2189">IF(V408&gt;0,V408,0)</f>
        <v>0</v>
      </c>
      <c r="BU408" s="65">
        <f t="shared" ref="BU408:BU417" si="2190">IF(BP408=0,0,BP408)</f>
        <v>20306</v>
      </c>
      <c r="BV408" s="65">
        <f t="shared" ref="BV408:BV417" si="2191">IF(BS408=0,0,BS408)</f>
        <v>52354</v>
      </c>
      <c r="BW408" s="65">
        <f t="shared" ref="BW408:BW417" si="2192">IF(BP408+BT408+BV408&gt;0,BP408+BT408+BV408,0)</f>
        <v>72660</v>
      </c>
      <c r="BX408" s="6"/>
      <c r="BY408" s="6"/>
      <c r="BZ408" s="6"/>
      <c r="CA408" s="6"/>
      <c r="CB408" s="6"/>
      <c r="CC408" s="6"/>
      <c r="CD408" s="6"/>
      <c r="CE408" s="6"/>
      <c r="CF408" s="6"/>
      <c r="CG408" s="6"/>
    </row>
    <row r="409" spans="1:85" ht="15.75" customHeight="1">
      <c r="A409" s="185" t="s">
        <v>518</v>
      </c>
      <c r="B409" s="103"/>
      <c r="C409" s="68" t="s">
        <v>430</v>
      </c>
      <c r="D409" s="345" t="s">
        <v>519</v>
      </c>
      <c r="E409" s="99">
        <v>0</v>
      </c>
      <c r="F409" s="99">
        <v>0</v>
      </c>
      <c r="G409" s="58">
        <f t="shared" si="2176"/>
        <v>0</v>
      </c>
      <c r="H409" s="56">
        <v>588800</v>
      </c>
      <c r="I409" s="59">
        <f t="shared" si="1582"/>
        <v>0</v>
      </c>
      <c r="J409" s="59">
        <f t="shared" si="1583"/>
        <v>0</v>
      </c>
      <c r="K409" s="74">
        <v>0</v>
      </c>
      <c r="L409" s="74">
        <v>0</v>
      </c>
      <c r="M409" s="74">
        <v>0</v>
      </c>
      <c r="N409" s="74">
        <f>115200+358400</f>
        <v>473600</v>
      </c>
      <c r="O409" s="61">
        <f t="shared" ref="O409:Q409" si="2193">AA409+AD409+AG409+AJ409+AM409+AP409+AS409+AV409+AY409+BB409+BE409+BH409</f>
        <v>0</v>
      </c>
      <c r="P409" s="61">
        <f t="shared" si="2193"/>
        <v>0</v>
      </c>
      <c r="Q409" s="170">
        <f t="shared" si="2193"/>
        <v>160320</v>
      </c>
      <c r="R409" s="61">
        <f t="shared" ref="R409:T409" si="2194">IF(BK409=0,SUM(AA409+AD409+AG409+AJ409+AM409+AP409+AS409+AV409+AY409+BB409+BE409+BH409),BK409)</f>
        <v>0</v>
      </c>
      <c r="S409" s="61">
        <f t="shared" si="2194"/>
        <v>0</v>
      </c>
      <c r="T409" s="61">
        <f t="shared" si="2194"/>
        <v>160320</v>
      </c>
      <c r="U409" s="63">
        <f t="shared" si="2179"/>
        <v>0</v>
      </c>
      <c r="V409" s="63">
        <f t="shared" si="2180"/>
        <v>0</v>
      </c>
      <c r="W409" s="62">
        <f t="shared" si="2181"/>
        <v>313280</v>
      </c>
      <c r="X409" s="64">
        <f t="shared" ref="X409:Y409" si="2195">IF(O409&gt;0,O409/K409,0)</f>
        <v>0</v>
      </c>
      <c r="Y409" s="64">
        <f t="shared" si="2195"/>
        <v>0</v>
      </c>
      <c r="Z409" s="64">
        <f t="shared" si="1658"/>
        <v>0.3385135135135135</v>
      </c>
      <c r="AA409" s="65"/>
      <c r="AB409" s="65"/>
      <c r="AC409" s="65"/>
      <c r="AD409" s="65"/>
      <c r="AE409" s="66"/>
      <c r="AF409" s="66"/>
      <c r="AG409" s="66"/>
      <c r="AH409" s="66"/>
      <c r="AI409" s="65">
        <f>4640+19840+10560</f>
        <v>35040</v>
      </c>
      <c r="AJ409" s="65"/>
      <c r="AK409" s="65"/>
      <c r="AL409" s="65">
        <f>-160-80+9840+4560+18240</f>
        <v>32400</v>
      </c>
      <c r="AM409" s="65"/>
      <c r="AN409" s="65"/>
      <c r="AO409" s="65">
        <f>9600+18400+4480</f>
        <v>32480</v>
      </c>
      <c r="AP409" s="65"/>
      <c r="AQ409" s="65"/>
      <c r="AR409" s="65">
        <f>4480+22320+33440+160</f>
        <v>60400</v>
      </c>
      <c r="AS409" s="65"/>
      <c r="AT409" s="65"/>
      <c r="AU409" s="65"/>
      <c r="AV409" s="65"/>
      <c r="AW409" s="65"/>
      <c r="AX409" s="65"/>
      <c r="AY409" s="65"/>
      <c r="AZ409" s="65"/>
      <c r="BA409" s="65"/>
      <c r="BB409" s="65"/>
      <c r="BC409" s="65"/>
      <c r="BD409" s="65"/>
      <c r="BE409" s="65"/>
      <c r="BF409" s="65"/>
      <c r="BG409" s="65"/>
      <c r="BH409" s="65"/>
      <c r="BI409" s="65"/>
      <c r="BJ409" s="65"/>
      <c r="BK409" s="65">
        <v>0</v>
      </c>
      <c r="BL409" s="65">
        <v>0</v>
      </c>
      <c r="BM409" s="65">
        <v>0</v>
      </c>
      <c r="BN409" s="65">
        <f t="shared" si="2183"/>
        <v>0</v>
      </c>
      <c r="BO409" s="67">
        <f t="shared" si="2184"/>
        <v>160320</v>
      </c>
      <c r="BP409" s="65">
        <f t="shared" si="2185"/>
        <v>160320</v>
      </c>
      <c r="BQ409" s="65">
        <f t="shared" si="2186"/>
        <v>0</v>
      </c>
      <c r="BR409" s="65">
        <f t="shared" si="2187"/>
        <v>313280</v>
      </c>
      <c r="BS409" s="65">
        <f t="shared" si="2188"/>
        <v>313280</v>
      </c>
      <c r="BT409" s="65">
        <f t="shared" si="2189"/>
        <v>0</v>
      </c>
      <c r="BU409" s="65">
        <f t="shared" si="2190"/>
        <v>160320</v>
      </c>
      <c r="BV409" s="65">
        <f t="shared" si="2191"/>
        <v>313280</v>
      </c>
      <c r="BW409" s="65">
        <f t="shared" si="2192"/>
        <v>473600</v>
      </c>
      <c r="BX409" s="6"/>
      <c r="BY409" s="6"/>
      <c r="BZ409" s="6"/>
      <c r="CA409" s="6"/>
      <c r="CB409" s="6"/>
      <c r="CC409" s="6"/>
      <c r="CD409" s="6"/>
      <c r="CE409" s="6"/>
      <c r="CF409" s="6"/>
      <c r="CG409" s="6"/>
    </row>
    <row r="410" spans="1:85" ht="15.75" customHeight="1">
      <c r="A410" s="185" t="s">
        <v>520</v>
      </c>
      <c r="B410" s="346"/>
      <c r="C410" s="68" t="s">
        <v>430</v>
      </c>
      <c r="D410" s="347" t="s">
        <v>521</v>
      </c>
      <c r="E410" s="99">
        <v>0</v>
      </c>
      <c r="F410" s="99">
        <v>0</v>
      </c>
      <c r="G410" s="58">
        <f t="shared" si="2176"/>
        <v>0</v>
      </c>
      <c r="H410" s="99">
        <v>0</v>
      </c>
      <c r="I410" s="83">
        <f t="shared" si="1582"/>
        <v>0</v>
      </c>
      <c r="J410" s="83">
        <f t="shared" si="1583"/>
        <v>0</v>
      </c>
      <c r="K410" s="74">
        <v>0</v>
      </c>
      <c r="L410" s="74">
        <v>0</v>
      </c>
      <c r="M410" s="74">
        <v>0</v>
      </c>
      <c r="N410" s="74">
        <v>200</v>
      </c>
      <c r="O410" s="63">
        <f t="shared" ref="O410:Q410" si="2196">AA410+AD410+AG410+AJ410+AM410+AP410+AS410+AV410+AY410+BB410+BE410+BH410</f>
        <v>0</v>
      </c>
      <c r="P410" s="63">
        <f t="shared" si="2196"/>
        <v>0</v>
      </c>
      <c r="Q410" s="63">
        <f t="shared" si="2196"/>
        <v>200</v>
      </c>
      <c r="R410" s="63">
        <f t="shared" ref="R410:T410" si="2197">IF(BK410=0,SUM(AA410+AD410+AG410+AJ410+AM410+AP410+AS410+AV410+AY410+BB410+BE410+BH410),BK410)</f>
        <v>0</v>
      </c>
      <c r="S410" s="63">
        <f t="shared" si="2197"/>
        <v>0</v>
      </c>
      <c r="T410" s="63">
        <f t="shared" si="2197"/>
        <v>200</v>
      </c>
      <c r="U410" s="63">
        <f t="shared" si="2179"/>
        <v>0</v>
      </c>
      <c r="V410" s="63">
        <f t="shared" si="2180"/>
        <v>0</v>
      </c>
      <c r="W410" s="63">
        <f t="shared" si="2181"/>
        <v>0</v>
      </c>
      <c r="X410" s="84">
        <f t="shared" ref="X410:Y410" si="2198">IF(O410&gt;0,O410/K410,0)</f>
        <v>0</v>
      </c>
      <c r="Y410" s="84">
        <f t="shared" si="2198"/>
        <v>0</v>
      </c>
      <c r="Z410" s="84">
        <f t="shared" si="1658"/>
        <v>1</v>
      </c>
      <c r="AA410" s="65"/>
      <c r="AB410" s="65"/>
      <c r="AC410" s="65"/>
      <c r="AD410" s="65"/>
      <c r="AE410" s="66"/>
      <c r="AF410" s="66"/>
      <c r="AG410" s="66"/>
      <c r="AH410" s="66"/>
      <c r="AI410" s="65"/>
      <c r="AJ410" s="65"/>
      <c r="AK410" s="65"/>
      <c r="AL410" s="65"/>
      <c r="AM410" s="65"/>
      <c r="AN410" s="65"/>
      <c r="AO410" s="65"/>
      <c r="AP410" s="65"/>
      <c r="AQ410" s="65"/>
      <c r="AR410" s="100">
        <v>200</v>
      </c>
      <c r="AS410" s="65"/>
      <c r="AT410" s="65"/>
      <c r="AU410" s="65"/>
      <c r="AV410" s="65"/>
      <c r="AW410" s="65"/>
      <c r="AX410" s="65"/>
      <c r="AY410" s="65"/>
      <c r="AZ410" s="65"/>
      <c r="BA410" s="65"/>
      <c r="BB410" s="65"/>
      <c r="BC410" s="65"/>
      <c r="BD410" s="65"/>
      <c r="BE410" s="65"/>
      <c r="BF410" s="65"/>
      <c r="BG410" s="65"/>
      <c r="BH410" s="65"/>
      <c r="BI410" s="65"/>
      <c r="BJ410" s="65"/>
      <c r="BK410" s="65">
        <v>0</v>
      </c>
      <c r="BL410" s="65">
        <v>0</v>
      </c>
      <c r="BM410" s="65">
        <v>0</v>
      </c>
      <c r="BN410" s="65">
        <f t="shared" si="2183"/>
        <v>0</v>
      </c>
      <c r="BO410" s="67">
        <f t="shared" si="2184"/>
        <v>200</v>
      </c>
      <c r="BP410" s="65">
        <f t="shared" si="2185"/>
        <v>200</v>
      </c>
      <c r="BQ410" s="65">
        <f t="shared" si="2186"/>
        <v>0</v>
      </c>
      <c r="BR410" s="65">
        <f t="shared" si="2187"/>
        <v>0</v>
      </c>
      <c r="BS410" s="65">
        <f t="shared" si="2188"/>
        <v>0</v>
      </c>
      <c r="BT410" s="65">
        <f t="shared" si="2189"/>
        <v>0</v>
      </c>
      <c r="BU410" s="65">
        <f t="shared" si="2190"/>
        <v>200</v>
      </c>
      <c r="BV410" s="65">
        <f t="shared" si="2191"/>
        <v>0</v>
      </c>
      <c r="BW410" s="65">
        <f t="shared" si="2192"/>
        <v>200</v>
      </c>
      <c r="BX410" s="88"/>
      <c r="BY410" s="88"/>
      <c r="BZ410" s="88"/>
      <c r="CA410" s="88"/>
      <c r="CB410" s="88"/>
      <c r="CC410" s="88"/>
      <c r="CD410" s="88"/>
      <c r="CE410" s="88"/>
      <c r="CF410" s="88"/>
      <c r="CG410" s="88"/>
    </row>
    <row r="411" spans="1:85" ht="15.75" customHeight="1">
      <c r="A411" s="104" t="s">
        <v>522</v>
      </c>
      <c r="B411" s="346"/>
      <c r="C411" s="68" t="s">
        <v>430</v>
      </c>
      <c r="D411" s="347" t="s">
        <v>523</v>
      </c>
      <c r="E411" s="99">
        <v>0</v>
      </c>
      <c r="F411" s="99">
        <v>0</v>
      </c>
      <c r="G411" s="58">
        <f t="shared" si="2176"/>
        <v>0</v>
      </c>
      <c r="H411" s="99">
        <v>0</v>
      </c>
      <c r="I411" s="83">
        <f t="shared" si="1582"/>
        <v>0</v>
      </c>
      <c r="J411" s="83">
        <f t="shared" si="1583"/>
        <v>0</v>
      </c>
      <c r="K411" s="74">
        <v>0</v>
      </c>
      <c r="L411" s="74">
        <v>0</v>
      </c>
      <c r="M411" s="74">
        <v>0</v>
      </c>
      <c r="N411" s="74">
        <f>1000+9000</f>
        <v>10000</v>
      </c>
      <c r="O411" s="63">
        <f t="shared" ref="O411:Q411" si="2199">AA411+AD411+AG411+AJ411+AM411+AP411+AS411+AV411+AY411+BB411+BE411+BH411</f>
        <v>0</v>
      </c>
      <c r="P411" s="63">
        <f t="shared" si="2199"/>
        <v>0</v>
      </c>
      <c r="Q411" s="63">
        <f t="shared" si="2199"/>
        <v>3000</v>
      </c>
      <c r="R411" s="63">
        <f t="shared" ref="R411:T411" si="2200">IF(BK411=0,SUM(AA411+AD411+AG411+AJ411+AM411+AP411+AS411+AV411+AY411+BB411+BE411+BH411),BK411)</f>
        <v>0</v>
      </c>
      <c r="S411" s="63">
        <f t="shared" si="2200"/>
        <v>0</v>
      </c>
      <c r="T411" s="63">
        <f t="shared" si="2200"/>
        <v>3000</v>
      </c>
      <c r="U411" s="63">
        <f t="shared" si="2179"/>
        <v>0</v>
      </c>
      <c r="V411" s="63">
        <f t="shared" si="2180"/>
        <v>0</v>
      </c>
      <c r="W411" s="62">
        <f t="shared" si="2181"/>
        <v>7000</v>
      </c>
      <c r="X411" s="84">
        <f t="shared" ref="X411:Y411" si="2201">IF(O411&gt;0,O411/K411,0)</f>
        <v>0</v>
      </c>
      <c r="Y411" s="84">
        <f t="shared" si="2201"/>
        <v>0</v>
      </c>
      <c r="Z411" s="84">
        <f t="shared" si="1658"/>
        <v>0.3</v>
      </c>
      <c r="AA411" s="65"/>
      <c r="AB411" s="65"/>
      <c r="AC411" s="65"/>
      <c r="AD411" s="65"/>
      <c r="AE411" s="66"/>
      <c r="AF411" s="66"/>
      <c r="AG411" s="66"/>
      <c r="AH411" s="66"/>
      <c r="AI411" s="65"/>
      <c r="AJ411" s="65"/>
      <c r="AK411" s="65"/>
      <c r="AL411" s="65"/>
      <c r="AM411" s="65"/>
      <c r="AN411" s="65"/>
      <c r="AO411" s="65">
        <f>200</f>
        <v>200</v>
      </c>
      <c r="AP411" s="65"/>
      <c r="AQ411" s="65"/>
      <c r="AR411" s="65">
        <f>800+1600+400</f>
        <v>2800</v>
      </c>
      <c r="AS411" s="65"/>
      <c r="AT411" s="65"/>
      <c r="AU411" s="65"/>
      <c r="AV411" s="65"/>
      <c r="AW411" s="65"/>
      <c r="AX411" s="65"/>
      <c r="AY411" s="65"/>
      <c r="AZ411" s="65"/>
      <c r="BA411" s="65"/>
      <c r="BB411" s="65"/>
      <c r="BC411" s="65"/>
      <c r="BD411" s="65"/>
      <c r="BE411" s="65"/>
      <c r="BF411" s="65"/>
      <c r="BG411" s="65"/>
      <c r="BH411" s="65"/>
      <c r="BI411" s="65"/>
      <c r="BJ411" s="65"/>
      <c r="BK411" s="65">
        <v>0</v>
      </c>
      <c r="BL411" s="65">
        <v>0</v>
      </c>
      <c r="BM411" s="65">
        <v>0</v>
      </c>
      <c r="BN411" s="65">
        <f t="shared" si="2183"/>
        <v>0</v>
      </c>
      <c r="BO411" s="67">
        <f t="shared" si="2184"/>
        <v>3000</v>
      </c>
      <c r="BP411" s="65">
        <f t="shared" si="2185"/>
        <v>3000</v>
      </c>
      <c r="BQ411" s="65">
        <f t="shared" si="2186"/>
        <v>0</v>
      </c>
      <c r="BR411" s="65">
        <f t="shared" si="2187"/>
        <v>7000</v>
      </c>
      <c r="BS411" s="65">
        <f t="shared" si="2188"/>
        <v>7000</v>
      </c>
      <c r="BT411" s="65">
        <f t="shared" si="2189"/>
        <v>0</v>
      </c>
      <c r="BU411" s="65">
        <f t="shared" si="2190"/>
        <v>3000</v>
      </c>
      <c r="BV411" s="65">
        <f t="shared" si="2191"/>
        <v>7000</v>
      </c>
      <c r="BW411" s="65">
        <f t="shared" si="2192"/>
        <v>10000</v>
      </c>
      <c r="BX411" s="88"/>
      <c r="BY411" s="88"/>
      <c r="BZ411" s="88"/>
      <c r="CA411" s="88"/>
      <c r="CB411" s="88"/>
      <c r="CC411" s="88"/>
      <c r="CD411" s="88"/>
      <c r="CE411" s="88"/>
      <c r="CF411" s="88"/>
      <c r="CG411" s="88"/>
    </row>
    <row r="412" spans="1:85" ht="15.75" customHeight="1">
      <c r="A412" s="185" t="s">
        <v>524</v>
      </c>
      <c r="B412" s="103"/>
      <c r="C412" s="68" t="s">
        <v>430</v>
      </c>
      <c r="D412" s="347" t="s">
        <v>525</v>
      </c>
      <c r="E412" s="99">
        <v>0</v>
      </c>
      <c r="F412" s="99">
        <v>0</v>
      </c>
      <c r="G412" s="58">
        <f t="shared" si="2176"/>
        <v>0</v>
      </c>
      <c r="H412" s="99">
        <v>0</v>
      </c>
      <c r="I412" s="59">
        <f t="shared" si="1582"/>
        <v>0</v>
      </c>
      <c r="J412" s="59">
        <f t="shared" si="1583"/>
        <v>0</v>
      </c>
      <c r="K412" s="74">
        <v>0</v>
      </c>
      <c r="L412" s="74">
        <v>0</v>
      </c>
      <c r="M412" s="74">
        <v>0</v>
      </c>
      <c r="N412" s="74">
        <f>9600+38400</f>
        <v>48000</v>
      </c>
      <c r="O412" s="61">
        <f t="shared" ref="O412:Q412" si="2202">AA412+AD412+AG412+AJ412+AM412+AP412+AS412+AV412+AY412+BB412+BE412+BH412</f>
        <v>0</v>
      </c>
      <c r="P412" s="61">
        <f t="shared" si="2202"/>
        <v>0</v>
      </c>
      <c r="Q412" s="170">
        <f t="shared" si="2202"/>
        <v>11520</v>
      </c>
      <c r="R412" s="61">
        <f t="shared" ref="R412:T412" si="2203">IF(BK412=0,SUM(AA412+AD412+AG412+AJ412+AM412+AP412+AS412+AV412+AY412+BB412+BE412+BH412),BK412)</f>
        <v>0</v>
      </c>
      <c r="S412" s="61">
        <f t="shared" si="2203"/>
        <v>0</v>
      </c>
      <c r="T412" s="61">
        <f t="shared" si="2203"/>
        <v>11520</v>
      </c>
      <c r="U412" s="63">
        <f t="shared" si="2179"/>
        <v>0</v>
      </c>
      <c r="V412" s="63">
        <f t="shared" si="2180"/>
        <v>0</v>
      </c>
      <c r="W412" s="62">
        <f t="shared" si="2181"/>
        <v>36480</v>
      </c>
      <c r="X412" s="64">
        <f t="shared" ref="X412:Y412" si="2204">IF(O412&gt;0,O412/K412,0)</f>
        <v>0</v>
      </c>
      <c r="Y412" s="64">
        <f t="shared" si="2204"/>
        <v>0</v>
      </c>
      <c r="Z412" s="64">
        <f t="shared" si="1658"/>
        <v>0.24</v>
      </c>
      <c r="AA412" s="65"/>
      <c r="AB412" s="65"/>
      <c r="AC412" s="65"/>
      <c r="AD412" s="65"/>
      <c r="AE412" s="66"/>
      <c r="AF412" s="66"/>
      <c r="AG412" s="66"/>
      <c r="AH412" s="66"/>
      <c r="AI412" s="65"/>
      <c r="AJ412" s="65"/>
      <c r="AK412" s="65"/>
      <c r="AL412" s="65">
        <f>2880+2880</f>
        <v>5760</v>
      </c>
      <c r="AM412" s="65"/>
      <c r="AN412" s="65"/>
      <c r="AO412" s="65">
        <f>2880</f>
        <v>2880</v>
      </c>
      <c r="AP412" s="65"/>
      <c r="AQ412" s="65"/>
      <c r="AR412" s="65">
        <f>2880</f>
        <v>2880</v>
      </c>
      <c r="AS412" s="65"/>
      <c r="AT412" s="65"/>
      <c r="AU412" s="65"/>
      <c r="AV412" s="65"/>
      <c r="AW412" s="65"/>
      <c r="AX412" s="65"/>
      <c r="AY412" s="65"/>
      <c r="AZ412" s="65"/>
      <c r="BA412" s="65"/>
      <c r="BB412" s="65"/>
      <c r="BC412" s="65"/>
      <c r="BD412" s="65"/>
      <c r="BE412" s="65"/>
      <c r="BF412" s="65"/>
      <c r="BG412" s="65"/>
      <c r="BH412" s="65"/>
      <c r="BI412" s="65"/>
      <c r="BJ412" s="65"/>
      <c r="BK412" s="65">
        <v>0</v>
      </c>
      <c r="BL412" s="65">
        <v>0</v>
      </c>
      <c r="BM412" s="65">
        <v>0</v>
      </c>
      <c r="BN412" s="65">
        <f t="shared" si="2183"/>
        <v>0</v>
      </c>
      <c r="BO412" s="67">
        <f t="shared" si="2184"/>
        <v>11520</v>
      </c>
      <c r="BP412" s="65">
        <f t="shared" si="2185"/>
        <v>11520</v>
      </c>
      <c r="BQ412" s="65">
        <f t="shared" si="2186"/>
        <v>0</v>
      </c>
      <c r="BR412" s="65">
        <f t="shared" si="2187"/>
        <v>36480</v>
      </c>
      <c r="BS412" s="65">
        <f t="shared" si="2188"/>
        <v>36480</v>
      </c>
      <c r="BT412" s="65">
        <f t="shared" si="2189"/>
        <v>0</v>
      </c>
      <c r="BU412" s="65">
        <f t="shared" si="2190"/>
        <v>11520</v>
      </c>
      <c r="BV412" s="65">
        <f t="shared" si="2191"/>
        <v>36480</v>
      </c>
      <c r="BW412" s="65">
        <f t="shared" si="2192"/>
        <v>48000</v>
      </c>
      <c r="BX412" s="6"/>
      <c r="BY412" s="6"/>
      <c r="BZ412" s="6"/>
      <c r="CA412" s="6"/>
      <c r="CB412" s="6"/>
      <c r="CC412" s="6"/>
      <c r="CD412" s="6"/>
      <c r="CE412" s="6"/>
      <c r="CF412" s="6"/>
      <c r="CG412" s="6"/>
    </row>
    <row r="413" spans="1:85" ht="15.75" customHeight="1">
      <c r="A413" s="185" t="s">
        <v>526</v>
      </c>
      <c r="B413" s="103"/>
      <c r="C413" s="68" t="s">
        <v>430</v>
      </c>
      <c r="D413" s="347" t="s">
        <v>527</v>
      </c>
      <c r="E413" s="99">
        <v>0</v>
      </c>
      <c r="F413" s="99">
        <v>0</v>
      </c>
      <c r="G413" s="58">
        <f t="shared" si="2176"/>
        <v>0</v>
      </c>
      <c r="H413" s="99">
        <v>0</v>
      </c>
      <c r="I413" s="59">
        <f t="shared" si="1582"/>
        <v>0</v>
      </c>
      <c r="J413" s="59">
        <f t="shared" si="1583"/>
        <v>0</v>
      </c>
      <c r="K413" s="74">
        <v>0</v>
      </c>
      <c r="L413" s="74">
        <v>0</v>
      </c>
      <c r="M413" s="74">
        <v>0</v>
      </c>
      <c r="N413" s="74">
        <v>120833</v>
      </c>
      <c r="O413" s="61">
        <f t="shared" ref="O413:Q413" si="2205">AA413+AD413+AG413+AJ413+AM413+AP413+AS413+AV413+AY413+BB413+BE413+BH413</f>
        <v>0</v>
      </c>
      <c r="P413" s="61">
        <f t="shared" si="2205"/>
        <v>0</v>
      </c>
      <c r="Q413" s="170">
        <f t="shared" si="2205"/>
        <v>0</v>
      </c>
      <c r="R413" s="61">
        <f t="shared" ref="R413:T413" si="2206">IF(BK413=0,SUM(AA413+AD413+AG413+AJ413+AM413+AP413+AS413+AV413+AY413+BB413+BE413+BH413),BK413)</f>
        <v>0</v>
      </c>
      <c r="S413" s="61">
        <f t="shared" si="2206"/>
        <v>0</v>
      </c>
      <c r="T413" s="61">
        <f t="shared" si="2206"/>
        <v>0</v>
      </c>
      <c r="U413" s="63">
        <f t="shared" si="2179"/>
        <v>0</v>
      </c>
      <c r="V413" s="63">
        <f t="shared" si="2180"/>
        <v>0</v>
      </c>
      <c r="W413" s="62">
        <f t="shared" si="2181"/>
        <v>120833</v>
      </c>
      <c r="X413" s="64">
        <f t="shared" ref="X413:Y413" si="2207">IF(O413&gt;0,O413/K413,0)</f>
        <v>0</v>
      </c>
      <c r="Y413" s="64">
        <f t="shared" si="2207"/>
        <v>0</v>
      </c>
      <c r="Z413" s="64">
        <f t="shared" si="1658"/>
        <v>0</v>
      </c>
      <c r="AA413" s="65"/>
      <c r="AB413" s="65"/>
      <c r="AC413" s="65"/>
      <c r="AD413" s="65"/>
      <c r="AE413" s="66"/>
      <c r="AF413" s="66"/>
      <c r="AG413" s="66"/>
      <c r="AH413" s="66"/>
      <c r="AI413" s="65"/>
      <c r="AJ413" s="65"/>
      <c r="AK413" s="65"/>
      <c r="AL413" s="65"/>
      <c r="AM413" s="65"/>
      <c r="AN413" s="65"/>
      <c r="AO413" s="65"/>
      <c r="AP413" s="65"/>
      <c r="AQ413" s="65"/>
      <c r="AR413" s="65"/>
      <c r="AS413" s="65"/>
      <c r="AT413" s="65"/>
      <c r="AU413" s="65"/>
      <c r="AV413" s="65"/>
      <c r="AW413" s="65"/>
      <c r="AX413" s="65"/>
      <c r="AY413" s="65"/>
      <c r="AZ413" s="65"/>
      <c r="BA413" s="65"/>
      <c r="BB413" s="65"/>
      <c r="BC413" s="65"/>
      <c r="BD413" s="65"/>
      <c r="BE413" s="65"/>
      <c r="BF413" s="65"/>
      <c r="BG413" s="65"/>
      <c r="BH413" s="65"/>
      <c r="BI413" s="65"/>
      <c r="BJ413" s="65"/>
      <c r="BK413" s="65">
        <v>0</v>
      </c>
      <c r="BL413" s="65">
        <v>0</v>
      </c>
      <c r="BM413" s="65">
        <v>0</v>
      </c>
      <c r="BN413" s="65">
        <f t="shared" si="2183"/>
        <v>0</v>
      </c>
      <c r="BO413" s="67">
        <f t="shared" si="2184"/>
        <v>0</v>
      </c>
      <c r="BP413" s="65">
        <f t="shared" si="2185"/>
        <v>0</v>
      </c>
      <c r="BQ413" s="65">
        <f t="shared" si="2186"/>
        <v>0</v>
      </c>
      <c r="BR413" s="65">
        <f t="shared" si="2187"/>
        <v>120833</v>
      </c>
      <c r="BS413" s="65">
        <f t="shared" si="2188"/>
        <v>120833</v>
      </c>
      <c r="BT413" s="65">
        <f t="shared" si="2189"/>
        <v>0</v>
      </c>
      <c r="BU413" s="65">
        <f t="shared" si="2190"/>
        <v>0</v>
      </c>
      <c r="BV413" s="65">
        <f t="shared" si="2191"/>
        <v>120833</v>
      </c>
      <c r="BW413" s="65">
        <f t="shared" si="2192"/>
        <v>120833</v>
      </c>
      <c r="BX413" s="6"/>
      <c r="BY413" s="6"/>
      <c r="BZ413" s="6"/>
      <c r="CA413" s="6"/>
      <c r="CB413" s="6"/>
      <c r="CC413" s="6"/>
      <c r="CD413" s="6"/>
      <c r="CE413" s="6"/>
      <c r="CF413" s="6"/>
      <c r="CG413" s="6"/>
    </row>
    <row r="414" spans="1:85" ht="15.75" customHeight="1">
      <c r="A414" s="68"/>
      <c r="B414" s="103"/>
      <c r="C414" s="68" t="s">
        <v>335</v>
      </c>
      <c r="D414" s="70" t="s">
        <v>336</v>
      </c>
      <c r="E414" s="99">
        <v>0</v>
      </c>
      <c r="F414" s="99">
        <v>0</v>
      </c>
      <c r="G414" s="58">
        <f t="shared" si="2176"/>
        <v>0</v>
      </c>
      <c r="H414" s="99">
        <v>0</v>
      </c>
      <c r="I414" s="59">
        <f t="shared" si="1582"/>
        <v>0</v>
      </c>
      <c r="J414" s="59">
        <f t="shared" si="1583"/>
        <v>0</v>
      </c>
      <c r="K414" s="74">
        <v>0</v>
      </c>
      <c r="L414" s="74">
        <v>0</v>
      </c>
      <c r="M414" s="74">
        <v>0</v>
      </c>
      <c r="N414" s="74">
        <v>0</v>
      </c>
      <c r="O414" s="61">
        <f t="shared" ref="O414:Q414" si="2208">AA414+AD414+AG414+AJ414+AM414+AP414+AS414+AV414+AY414+BB414+BE414+BH414</f>
        <v>0</v>
      </c>
      <c r="P414" s="61">
        <f t="shared" si="2208"/>
        <v>0</v>
      </c>
      <c r="Q414" s="61">
        <f t="shared" si="2208"/>
        <v>0</v>
      </c>
      <c r="R414" s="61">
        <f t="shared" ref="R414:T414" si="2209">IF(BK414=0,SUM(AA414+AD414+AG414+AJ414+AM414+AP414+AS414+AV414+AY414+BB414+BE414+BH414),BK414)</f>
        <v>0</v>
      </c>
      <c r="S414" s="61">
        <f t="shared" si="2209"/>
        <v>0</v>
      </c>
      <c r="T414" s="61">
        <f t="shared" si="2209"/>
        <v>0</v>
      </c>
      <c r="U414" s="63">
        <f t="shared" si="2179"/>
        <v>0</v>
      </c>
      <c r="V414" s="63">
        <f t="shared" si="2180"/>
        <v>0</v>
      </c>
      <c r="W414" s="63">
        <f t="shared" si="2181"/>
        <v>0</v>
      </c>
      <c r="X414" s="64">
        <f t="shared" ref="X414:Y414" si="2210">IF(O414&gt;0,O414/K414,0)</f>
        <v>0</v>
      </c>
      <c r="Y414" s="64">
        <f t="shared" si="2210"/>
        <v>0</v>
      </c>
      <c r="Z414" s="64">
        <f t="shared" si="1658"/>
        <v>0</v>
      </c>
      <c r="AA414" s="65"/>
      <c r="AB414" s="65"/>
      <c r="AC414" s="65"/>
      <c r="AD414" s="65"/>
      <c r="AE414" s="66"/>
      <c r="AF414" s="66"/>
      <c r="AG414" s="66"/>
      <c r="AH414" s="66"/>
      <c r="AI414" s="65"/>
      <c r="AJ414" s="65"/>
      <c r="AK414" s="65"/>
      <c r="AL414" s="65"/>
      <c r="AM414" s="65"/>
      <c r="AN414" s="65"/>
      <c r="AO414" s="65"/>
      <c r="AP414" s="65"/>
      <c r="AQ414" s="65"/>
      <c r="AR414" s="65"/>
      <c r="AS414" s="65"/>
      <c r="AT414" s="65"/>
      <c r="AU414" s="65"/>
      <c r="AV414" s="65"/>
      <c r="AW414" s="65"/>
      <c r="AX414" s="65"/>
      <c r="AY414" s="65"/>
      <c r="AZ414" s="65"/>
      <c r="BA414" s="65"/>
      <c r="BB414" s="65"/>
      <c r="BC414" s="65"/>
      <c r="BD414" s="65"/>
      <c r="BE414" s="65"/>
      <c r="BF414" s="65"/>
      <c r="BG414" s="65"/>
      <c r="BH414" s="65"/>
      <c r="BI414" s="65"/>
      <c r="BJ414" s="65"/>
      <c r="BK414" s="65">
        <v>0</v>
      </c>
      <c r="BL414" s="65">
        <v>0</v>
      </c>
      <c r="BM414" s="65">
        <v>0</v>
      </c>
      <c r="BN414" s="65">
        <f t="shared" si="2183"/>
        <v>0</v>
      </c>
      <c r="BO414" s="67">
        <f t="shared" si="2184"/>
        <v>0</v>
      </c>
      <c r="BP414" s="65">
        <f t="shared" si="2185"/>
        <v>0</v>
      </c>
      <c r="BQ414" s="65">
        <f t="shared" si="2186"/>
        <v>0</v>
      </c>
      <c r="BR414" s="65">
        <f t="shared" si="2187"/>
        <v>0</v>
      </c>
      <c r="BS414" s="65">
        <f t="shared" si="2188"/>
        <v>0</v>
      </c>
      <c r="BT414" s="65">
        <f t="shared" si="2189"/>
        <v>0</v>
      </c>
      <c r="BU414" s="65">
        <f t="shared" si="2190"/>
        <v>0</v>
      </c>
      <c r="BV414" s="65">
        <f t="shared" si="2191"/>
        <v>0</v>
      </c>
      <c r="BW414" s="65">
        <f t="shared" si="2192"/>
        <v>0</v>
      </c>
      <c r="BX414" s="6"/>
      <c r="BY414" s="6"/>
      <c r="BZ414" s="6"/>
      <c r="CA414" s="6"/>
      <c r="CB414" s="6"/>
      <c r="CC414" s="6"/>
      <c r="CD414" s="6"/>
      <c r="CE414" s="6"/>
      <c r="CF414" s="6"/>
      <c r="CG414" s="6"/>
    </row>
    <row r="415" spans="1:85" ht="15.75" customHeight="1">
      <c r="A415" s="68"/>
      <c r="B415" s="103"/>
      <c r="C415" s="68" t="s">
        <v>335</v>
      </c>
      <c r="D415" s="70" t="s">
        <v>336</v>
      </c>
      <c r="E415" s="99">
        <v>0</v>
      </c>
      <c r="F415" s="99">
        <v>0</v>
      </c>
      <c r="G415" s="58">
        <f t="shared" si="2176"/>
        <v>0</v>
      </c>
      <c r="H415" s="99">
        <v>0</v>
      </c>
      <c r="I415" s="59">
        <f t="shared" si="1582"/>
        <v>0</v>
      </c>
      <c r="J415" s="59">
        <f t="shared" si="1583"/>
        <v>0</v>
      </c>
      <c r="K415" s="74">
        <v>0</v>
      </c>
      <c r="L415" s="74">
        <v>0</v>
      </c>
      <c r="M415" s="74">
        <v>0</v>
      </c>
      <c r="N415" s="74">
        <v>0</v>
      </c>
      <c r="O415" s="61">
        <f t="shared" ref="O415:Q415" si="2211">AA415+AD415+AG415+AJ415+AM415+AP415+AS415+AV415+AY415+BB415+BE415+BH415</f>
        <v>0</v>
      </c>
      <c r="P415" s="61">
        <f t="shared" si="2211"/>
        <v>0</v>
      </c>
      <c r="Q415" s="61">
        <f t="shared" si="2211"/>
        <v>0</v>
      </c>
      <c r="R415" s="61">
        <f t="shared" ref="R415:T415" si="2212">IF(BK415=0,SUM(AA415+AD415+AG415+AJ415+AM415+AP415+AS415+AV415+AY415+BB415+BE415+BH415),BK415)</f>
        <v>0</v>
      </c>
      <c r="S415" s="61">
        <f t="shared" si="2212"/>
        <v>0</v>
      </c>
      <c r="T415" s="61">
        <f t="shared" si="2212"/>
        <v>0</v>
      </c>
      <c r="U415" s="63">
        <f t="shared" si="2179"/>
        <v>0</v>
      </c>
      <c r="V415" s="63">
        <f t="shared" si="2180"/>
        <v>0</v>
      </c>
      <c r="W415" s="63">
        <f t="shared" si="2181"/>
        <v>0</v>
      </c>
      <c r="X415" s="64">
        <f t="shared" ref="X415:Y415" si="2213">IF(O415&gt;0,O415/K415,0)</f>
        <v>0</v>
      </c>
      <c r="Y415" s="64">
        <f t="shared" si="2213"/>
        <v>0</v>
      </c>
      <c r="Z415" s="64">
        <f t="shared" si="1658"/>
        <v>0</v>
      </c>
      <c r="AA415" s="65"/>
      <c r="AB415" s="65"/>
      <c r="AC415" s="65"/>
      <c r="AD415" s="65"/>
      <c r="AE415" s="66"/>
      <c r="AF415" s="66"/>
      <c r="AG415" s="66"/>
      <c r="AH415" s="66"/>
      <c r="AI415" s="65"/>
      <c r="AJ415" s="65"/>
      <c r="AK415" s="65"/>
      <c r="AL415" s="65"/>
      <c r="AM415" s="65"/>
      <c r="AN415" s="65"/>
      <c r="AO415" s="65"/>
      <c r="AP415" s="65"/>
      <c r="AQ415" s="65"/>
      <c r="AR415" s="65"/>
      <c r="AS415" s="65"/>
      <c r="AT415" s="65"/>
      <c r="AU415" s="65"/>
      <c r="AV415" s="65"/>
      <c r="AW415" s="65"/>
      <c r="AX415" s="65"/>
      <c r="AY415" s="65"/>
      <c r="AZ415" s="65"/>
      <c r="BA415" s="65"/>
      <c r="BB415" s="65"/>
      <c r="BC415" s="65"/>
      <c r="BD415" s="65"/>
      <c r="BE415" s="65"/>
      <c r="BF415" s="65"/>
      <c r="BG415" s="65"/>
      <c r="BH415" s="65"/>
      <c r="BI415" s="65"/>
      <c r="BJ415" s="65"/>
      <c r="BK415" s="65">
        <v>0</v>
      </c>
      <c r="BL415" s="65">
        <v>0</v>
      </c>
      <c r="BM415" s="65">
        <v>0</v>
      </c>
      <c r="BN415" s="65">
        <f t="shared" si="2183"/>
        <v>0</v>
      </c>
      <c r="BO415" s="67">
        <f t="shared" si="2184"/>
        <v>0</v>
      </c>
      <c r="BP415" s="65">
        <f t="shared" si="2185"/>
        <v>0</v>
      </c>
      <c r="BQ415" s="65">
        <f t="shared" si="2186"/>
        <v>0</v>
      </c>
      <c r="BR415" s="65">
        <f t="shared" si="2187"/>
        <v>0</v>
      </c>
      <c r="BS415" s="65">
        <f t="shared" si="2188"/>
        <v>0</v>
      </c>
      <c r="BT415" s="65">
        <f t="shared" si="2189"/>
        <v>0</v>
      </c>
      <c r="BU415" s="65">
        <f t="shared" si="2190"/>
        <v>0</v>
      </c>
      <c r="BV415" s="65">
        <f t="shared" si="2191"/>
        <v>0</v>
      </c>
      <c r="BW415" s="65">
        <f t="shared" si="2192"/>
        <v>0</v>
      </c>
      <c r="BX415" s="6"/>
      <c r="BY415" s="6"/>
      <c r="BZ415" s="6"/>
      <c r="CA415" s="6"/>
      <c r="CB415" s="6"/>
      <c r="CC415" s="6"/>
      <c r="CD415" s="6"/>
      <c r="CE415" s="6"/>
      <c r="CF415" s="6"/>
      <c r="CG415" s="6"/>
    </row>
    <row r="416" spans="1:85" ht="15.75" customHeight="1">
      <c r="A416" s="68"/>
      <c r="B416" s="103"/>
      <c r="C416" s="68" t="s">
        <v>335</v>
      </c>
      <c r="D416" s="70" t="s">
        <v>528</v>
      </c>
      <c r="E416" s="99">
        <v>0</v>
      </c>
      <c r="F416" s="99">
        <v>0</v>
      </c>
      <c r="G416" s="58">
        <f t="shared" si="2176"/>
        <v>0</v>
      </c>
      <c r="H416" s="99">
        <v>0</v>
      </c>
      <c r="I416" s="59">
        <f t="shared" si="1582"/>
        <v>0</v>
      </c>
      <c r="J416" s="59">
        <f t="shared" si="1583"/>
        <v>0</v>
      </c>
      <c r="K416" s="74">
        <v>0</v>
      </c>
      <c r="L416" s="74">
        <v>0</v>
      </c>
      <c r="M416" s="74">
        <v>0</v>
      </c>
      <c r="N416" s="74">
        <v>0</v>
      </c>
      <c r="O416" s="61">
        <f t="shared" ref="O416:Q416" si="2214">AA416+AD416+AG416+AJ416+AM416+AP416+AS416+AV416+AY416+BB416+BE416+BH416</f>
        <v>0</v>
      </c>
      <c r="P416" s="61">
        <f t="shared" si="2214"/>
        <v>0</v>
      </c>
      <c r="Q416" s="61">
        <f t="shared" si="2214"/>
        <v>0</v>
      </c>
      <c r="R416" s="61">
        <f t="shared" ref="R416:T416" si="2215">IF(BK416=0,SUM(AA416+AD416+AG416+AJ416+AM416+AP416+AS416+AV416+AY416+BB416+BE416+BH416),BK416)</f>
        <v>0</v>
      </c>
      <c r="S416" s="61">
        <f t="shared" si="2215"/>
        <v>0</v>
      </c>
      <c r="T416" s="61">
        <f t="shared" si="2215"/>
        <v>0</v>
      </c>
      <c r="U416" s="63">
        <f t="shared" si="2179"/>
        <v>0</v>
      </c>
      <c r="V416" s="63">
        <f t="shared" si="2180"/>
        <v>0</v>
      </c>
      <c r="W416" s="63">
        <f t="shared" si="2181"/>
        <v>0</v>
      </c>
      <c r="X416" s="64">
        <f t="shared" ref="X416:Y416" si="2216">IF(O416&gt;0,O416/K416,0)</f>
        <v>0</v>
      </c>
      <c r="Y416" s="64">
        <f t="shared" si="2216"/>
        <v>0</v>
      </c>
      <c r="Z416" s="64">
        <f t="shared" si="1658"/>
        <v>0</v>
      </c>
      <c r="AA416" s="65"/>
      <c r="AB416" s="65"/>
      <c r="AC416" s="65"/>
      <c r="AD416" s="65"/>
      <c r="AE416" s="66"/>
      <c r="AF416" s="66"/>
      <c r="AG416" s="66"/>
      <c r="AH416" s="66"/>
      <c r="AI416" s="65"/>
      <c r="AJ416" s="65"/>
      <c r="AK416" s="65"/>
      <c r="AL416" s="65"/>
      <c r="AM416" s="65"/>
      <c r="AN416" s="65"/>
      <c r="AO416" s="65"/>
      <c r="AP416" s="65"/>
      <c r="AQ416" s="65"/>
      <c r="AR416" s="65"/>
      <c r="AS416" s="65"/>
      <c r="AT416" s="65"/>
      <c r="AU416" s="65"/>
      <c r="AV416" s="65"/>
      <c r="AW416" s="65"/>
      <c r="AX416" s="65"/>
      <c r="AY416" s="65"/>
      <c r="AZ416" s="65"/>
      <c r="BA416" s="65"/>
      <c r="BB416" s="65"/>
      <c r="BC416" s="65"/>
      <c r="BD416" s="65"/>
      <c r="BE416" s="65"/>
      <c r="BF416" s="65"/>
      <c r="BG416" s="65"/>
      <c r="BH416" s="65"/>
      <c r="BI416" s="65"/>
      <c r="BJ416" s="65"/>
      <c r="BK416" s="65">
        <v>0</v>
      </c>
      <c r="BL416" s="65">
        <v>0</v>
      </c>
      <c r="BM416" s="65">
        <v>0</v>
      </c>
      <c r="BN416" s="65">
        <f t="shared" si="2183"/>
        <v>0</v>
      </c>
      <c r="BO416" s="67">
        <f t="shared" si="2184"/>
        <v>0</v>
      </c>
      <c r="BP416" s="65">
        <f t="shared" si="2185"/>
        <v>0</v>
      </c>
      <c r="BQ416" s="65">
        <f t="shared" si="2186"/>
        <v>0</v>
      </c>
      <c r="BR416" s="65">
        <f t="shared" si="2187"/>
        <v>0</v>
      </c>
      <c r="BS416" s="65">
        <f t="shared" si="2188"/>
        <v>0</v>
      </c>
      <c r="BT416" s="65">
        <f t="shared" si="2189"/>
        <v>0</v>
      </c>
      <c r="BU416" s="65">
        <f t="shared" si="2190"/>
        <v>0</v>
      </c>
      <c r="BV416" s="65">
        <f t="shared" si="2191"/>
        <v>0</v>
      </c>
      <c r="BW416" s="65">
        <f t="shared" si="2192"/>
        <v>0</v>
      </c>
      <c r="BX416" s="6"/>
      <c r="BY416" s="6"/>
      <c r="BZ416" s="6"/>
      <c r="CA416" s="6"/>
      <c r="CB416" s="6"/>
      <c r="CC416" s="6"/>
      <c r="CD416" s="6"/>
      <c r="CE416" s="6"/>
      <c r="CF416" s="6"/>
      <c r="CG416" s="6"/>
    </row>
    <row r="417" spans="1:85" ht="15.75" customHeight="1">
      <c r="A417" s="68"/>
      <c r="B417" s="103"/>
      <c r="C417" s="68" t="s">
        <v>335</v>
      </c>
      <c r="D417" s="70" t="s">
        <v>529</v>
      </c>
      <c r="E417" s="99">
        <v>0</v>
      </c>
      <c r="F417" s="99">
        <v>0</v>
      </c>
      <c r="G417" s="58">
        <f t="shared" si="2176"/>
        <v>0</v>
      </c>
      <c r="H417" s="99">
        <v>0</v>
      </c>
      <c r="I417" s="59">
        <f t="shared" si="1582"/>
        <v>0</v>
      </c>
      <c r="J417" s="59">
        <f t="shared" si="1583"/>
        <v>0</v>
      </c>
      <c r="K417" s="74">
        <v>0</v>
      </c>
      <c r="L417" s="74">
        <v>0</v>
      </c>
      <c r="M417" s="74">
        <v>0</v>
      </c>
      <c r="N417" s="74">
        <v>0</v>
      </c>
      <c r="O417" s="61">
        <f t="shared" ref="O417:Q417" si="2217">AA417+AD417+AG417+AJ417+AM417+AP417+AS417+AV417+AY417+BB417+BE417+BH417</f>
        <v>0</v>
      </c>
      <c r="P417" s="61">
        <f t="shared" si="2217"/>
        <v>0</v>
      </c>
      <c r="Q417" s="61">
        <f t="shared" si="2217"/>
        <v>0</v>
      </c>
      <c r="R417" s="61">
        <f t="shared" ref="R417:T417" si="2218">IF(BK417=0,SUM(AA417+AD417+AG417+AJ417+AM417+AP417+AS417+AV417+AY417+BB417+BE417+BH417),BK417)</f>
        <v>0</v>
      </c>
      <c r="S417" s="61">
        <f t="shared" si="2218"/>
        <v>0</v>
      </c>
      <c r="T417" s="61">
        <f t="shared" si="2218"/>
        <v>0</v>
      </c>
      <c r="U417" s="63">
        <f t="shared" si="2179"/>
        <v>0</v>
      </c>
      <c r="V417" s="63">
        <f t="shared" si="2180"/>
        <v>0</v>
      </c>
      <c r="W417" s="63">
        <f t="shared" si="2181"/>
        <v>0</v>
      </c>
      <c r="X417" s="64">
        <f t="shared" ref="X417:Y417" si="2219">IF(O417&gt;0,O417/K417,0)</f>
        <v>0</v>
      </c>
      <c r="Y417" s="64">
        <f t="shared" si="2219"/>
        <v>0</v>
      </c>
      <c r="Z417" s="64">
        <f t="shared" si="1658"/>
        <v>0</v>
      </c>
      <c r="AA417" s="65"/>
      <c r="AB417" s="65"/>
      <c r="AC417" s="65"/>
      <c r="AD417" s="65"/>
      <c r="AE417" s="66"/>
      <c r="AF417" s="66"/>
      <c r="AG417" s="66"/>
      <c r="AH417" s="66"/>
      <c r="AI417" s="65"/>
      <c r="AJ417" s="65"/>
      <c r="AK417" s="65"/>
      <c r="AL417" s="65"/>
      <c r="AM417" s="65"/>
      <c r="AN417" s="65"/>
      <c r="AO417" s="65"/>
      <c r="AP417" s="65"/>
      <c r="AQ417" s="65"/>
      <c r="AR417" s="65"/>
      <c r="AS417" s="65"/>
      <c r="AT417" s="65"/>
      <c r="AU417" s="65"/>
      <c r="AV417" s="65"/>
      <c r="AW417" s="65"/>
      <c r="AX417" s="65"/>
      <c r="AY417" s="65"/>
      <c r="AZ417" s="65"/>
      <c r="BA417" s="65"/>
      <c r="BB417" s="65"/>
      <c r="BC417" s="65"/>
      <c r="BD417" s="65"/>
      <c r="BE417" s="65"/>
      <c r="BF417" s="65"/>
      <c r="BG417" s="65"/>
      <c r="BH417" s="65"/>
      <c r="BI417" s="65"/>
      <c r="BJ417" s="65"/>
      <c r="BK417" s="65">
        <v>0</v>
      </c>
      <c r="BL417" s="65">
        <v>0</v>
      </c>
      <c r="BM417" s="65">
        <v>0</v>
      </c>
      <c r="BN417" s="65">
        <f t="shared" si="2183"/>
        <v>0</v>
      </c>
      <c r="BO417" s="67">
        <f t="shared" si="2184"/>
        <v>0</v>
      </c>
      <c r="BP417" s="65">
        <f t="shared" si="2185"/>
        <v>0</v>
      </c>
      <c r="BQ417" s="65">
        <f t="shared" si="2186"/>
        <v>0</v>
      </c>
      <c r="BR417" s="65">
        <f t="shared" si="2187"/>
        <v>0</v>
      </c>
      <c r="BS417" s="65">
        <f t="shared" si="2188"/>
        <v>0</v>
      </c>
      <c r="BT417" s="65">
        <f t="shared" si="2189"/>
        <v>0</v>
      </c>
      <c r="BU417" s="65">
        <f t="shared" si="2190"/>
        <v>0</v>
      </c>
      <c r="BV417" s="65">
        <f t="shared" si="2191"/>
        <v>0</v>
      </c>
      <c r="BW417" s="65">
        <f t="shared" si="2192"/>
        <v>0</v>
      </c>
      <c r="BX417" s="6"/>
      <c r="BY417" s="6"/>
      <c r="BZ417" s="6"/>
      <c r="CA417" s="6"/>
      <c r="CB417" s="6"/>
      <c r="CC417" s="6"/>
      <c r="CD417" s="6"/>
      <c r="CE417" s="6"/>
      <c r="CF417" s="6"/>
      <c r="CG417" s="6"/>
    </row>
    <row r="418" spans="1:85" ht="15.75" customHeight="1">
      <c r="A418" s="260"/>
      <c r="B418" s="261"/>
      <c r="C418" s="262"/>
      <c r="D418" s="78" t="s">
        <v>168</v>
      </c>
      <c r="E418" s="45">
        <f t="shared" ref="E418:H418" si="2220">E419</f>
        <v>0</v>
      </c>
      <c r="F418" s="46">
        <f t="shared" si="2220"/>
        <v>0</v>
      </c>
      <c r="G418" s="46">
        <f t="shared" si="2220"/>
        <v>0</v>
      </c>
      <c r="H418" s="46">
        <f t="shared" si="2220"/>
        <v>0</v>
      </c>
      <c r="I418" s="47">
        <f t="shared" si="1582"/>
        <v>0</v>
      </c>
      <c r="J418" s="47">
        <f t="shared" si="1583"/>
        <v>0</v>
      </c>
      <c r="K418" s="46">
        <f t="shared" ref="K418:W418" si="2221">K419</f>
        <v>0</v>
      </c>
      <c r="L418" s="46">
        <f t="shared" si="2221"/>
        <v>0</v>
      </c>
      <c r="M418" s="46">
        <f t="shared" si="2221"/>
        <v>0</v>
      </c>
      <c r="N418" s="46">
        <f t="shared" si="2221"/>
        <v>0</v>
      </c>
      <c r="O418" s="46">
        <f t="shared" si="2221"/>
        <v>0</v>
      </c>
      <c r="P418" s="46">
        <f t="shared" si="2221"/>
        <v>0</v>
      </c>
      <c r="Q418" s="46">
        <f t="shared" si="2221"/>
        <v>0</v>
      </c>
      <c r="R418" s="46">
        <f t="shared" si="2221"/>
        <v>0</v>
      </c>
      <c r="S418" s="46">
        <f t="shared" si="2221"/>
        <v>0</v>
      </c>
      <c r="T418" s="46">
        <f t="shared" si="2221"/>
        <v>0</v>
      </c>
      <c r="U418" s="46">
        <f t="shared" si="2221"/>
        <v>0</v>
      </c>
      <c r="V418" s="46">
        <f t="shared" si="2221"/>
        <v>0</v>
      </c>
      <c r="W418" s="46">
        <f t="shared" si="2221"/>
        <v>0</v>
      </c>
      <c r="X418" s="50">
        <f t="shared" ref="X418:Y418" si="2222">IF(O418&gt;0,O418/K418,0)</f>
        <v>0</v>
      </c>
      <c r="Y418" s="50">
        <f t="shared" si="2222"/>
        <v>0</v>
      </c>
      <c r="Z418" s="50">
        <f t="shared" si="1658"/>
        <v>0</v>
      </c>
      <c r="AA418" s="46">
        <f t="shared" ref="AA418:BW418" si="2223">AA419</f>
        <v>0</v>
      </c>
      <c r="AB418" s="46">
        <f t="shared" si="2223"/>
        <v>0</v>
      </c>
      <c r="AC418" s="46">
        <f t="shared" si="2223"/>
        <v>0</v>
      </c>
      <c r="AD418" s="46">
        <f t="shared" si="2223"/>
        <v>0</v>
      </c>
      <c r="AE418" s="46">
        <f t="shared" si="2223"/>
        <v>0</v>
      </c>
      <c r="AF418" s="46">
        <f t="shared" si="2223"/>
        <v>0</v>
      </c>
      <c r="AG418" s="46">
        <f t="shared" si="2223"/>
        <v>0</v>
      </c>
      <c r="AH418" s="46">
        <f t="shared" si="2223"/>
        <v>0</v>
      </c>
      <c r="AI418" s="46">
        <f t="shared" si="2223"/>
        <v>0</v>
      </c>
      <c r="AJ418" s="46">
        <f t="shared" si="2223"/>
        <v>0</v>
      </c>
      <c r="AK418" s="46">
        <f t="shared" si="2223"/>
        <v>0</v>
      </c>
      <c r="AL418" s="46">
        <f t="shared" si="2223"/>
        <v>0</v>
      </c>
      <c r="AM418" s="46">
        <f t="shared" si="2223"/>
        <v>0</v>
      </c>
      <c r="AN418" s="46">
        <f t="shared" si="2223"/>
        <v>0</v>
      </c>
      <c r="AO418" s="46">
        <f t="shared" si="2223"/>
        <v>0</v>
      </c>
      <c r="AP418" s="46">
        <f t="shared" si="2223"/>
        <v>0</v>
      </c>
      <c r="AQ418" s="46">
        <f t="shared" si="2223"/>
        <v>0</v>
      </c>
      <c r="AR418" s="46">
        <f t="shared" si="2223"/>
        <v>0</v>
      </c>
      <c r="AS418" s="46">
        <f t="shared" si="2223"/>
        <v>0</v>
      </c>
      <c r="AT418" s="46">
        <f t="shared" si="2223"/>
        <v>0</v>
      </c>
      <c r="AU418" s="46">
        <f t="shared" si="2223"/>
        <v>0</v>
      </c>
      <c r="AV418" s="46">
        <f t="shared" si="2223"/>
        <v>0</v>
      </c>
      <c r="AW418" s="46">
        <f t="shared" si="2223"/>
        <v>0</v>
      </c>
      <c r="AX418" s="46">
        <f t="shared" si="2223"/>
        <v>0</v>
      </c>
      <c r="AY418" s="46">
        <f t="shared" si="2223"/>
        <v>0</v>
      </c>
      <c r="AZ418" s="46">
        <f t="shared" si="2223"/>
        <v>0</v>
      </c>
      <c r="BA418" s="46">
        <f t="shared" si="2223"/>
        <v>0</v>
      </c>
      <c r="BB418" s="46">
        <f t="shared" si="2223"/>
        <v>0</v>
      </c>
      <c r="BC418" s="46">
        <f t="shared" si="2223"/>
        <v>0</v>
      </c>
      <c r="BD418" s="46">
        <f t="shared" si="2223"/>
        <v>0</v>
      </c>
      <c r="BE418" s="46">
        <f t="shared" si="2223"/>
        <v>0</v>
      </c>
      <c r="BF418" s="46">
        <f t="shared" si="2223"/>
        <v>0</v>
      </c>
      <c r="BG418" s="46">
        <f t="shared" si="2223"/>
        <v>0</v>
      </c>
      <c r="BH418" s="46">
        <f t="shared" si="2223"/>
        <v>0</v>
      </c>
      <c r="BI418" s="46">
        <f t="shared" si="2223"/>
        <v>0</v>
      </c>
      <c r="BJ418" s="46">
        <f t="shared" si="2223"/>
        <v>0</v>
      </c>
      <c r="BK418" s="46">
        <f t="shared" si="2223"/>
        <v>0</v>
      </c>
      <c r="BL418" s="46">
        <f t="shared" si="2223"/>
        <v>0</v>
      </c>
      <c r="BM418" s="46">
        <f t="shared" si="2223"/>
        <v>0</v>
      </c>
      <c r="BN418" s="46">
        <f t="shared" si="2223"/>
        <v>0</v>
      </c>
      <c r="BO418" s="46">
        <f t="shared" si="2223"/>
        <v>0</v>
      </c>
      <c r="BP418" s="46">
        <f t="shared" si="2223"/>
        <v>0</v>
      </c>
      <c r="BQ418" s="46">
        <f t="shared" si="2223"/>
        <v>0</v>
      </c>
      <c r="BR418" s="46">
        <f t="shared" si="2223"/>
        <v>0</v>
      </c>
      <c r="BS418" s="46">
        <f t="shared" si="2223"/>
        <v>0</v>
      </c>
      <c r="BT418" s="46">
        <f t="shared" si="2223"/>
        <v>0</v>
      </c>
      <c r="BU418" s="46">
        <f t="shared" si="2223"/>
        <v>0</v>
      </c>
      <c r="BV418" s="46">
        <f t="shared" si="2223"/>
        <v>0</v>
      </c>
      <c r="BW418" s="46">
        <f t="shared" si="2223"/>
        <v>0</v>
      </c>
      <c r="BX418" s="6"/>
      <c r="BY418" s="6"/>
      <c r="BZ418" s="6"/>
      <c r="CA418" s="6"/>
      <c r="CB418" s="6"/>
      <c r="CC418" s="6"/>
      <c r="CD418" s="6"/>
      <c r="CE418" s="6"/>
      <c r="CF418" s="6"/>
      <c r="CG418" s="6"/>
    </row>
    <row r="419" spans="1:85" ht="15.75" customHeight="1">
      <c r="A419" s="185"/>
      <c r="B419" s="186"/>
      <c r="C419" s="71"/>
      <c r="D419" s="73"/>
      <c r="E419" s="99">
        <v>0</v>
      </c>
      <c r="F419" s="99">
        <v>0</v>
      </c>
      <c r="G419" s="58">
        <f>E419-F419</f>
        <v>0</v>
      </c>
      <c r="H419" s="99">
        <v>0</v>
      </c>
      <c r="I419" s="59">
        <f t="shared" si="1582"/>
        <v>0</v>
      </c>
      <c r="J419" s="59">
        <f t="shared" si="1583"/>
        <v>0</v>
      </c>
      <c r="K419" s="74">
        <v>0</v>
      </c>
      <c r="L419" s="74">
        <v>0</v>
      </c>
      <c r="M419" s="74">
        <v>0</v>
      </c>
      <c r="N419" s="74">
        <v>0</v>
      </c>
      <c r="O419" s="61">
        <f t="shared" ref="O419:Q419" si="2224">AA419+AD419+AG419+AJ419+AM419+AP419+AS419+AV419+AY419+BB419+BE419+BH419</f>
        <v>0</v>
      </c>
      <c r="P419" s="61">
        <f t="shared" si="2224"/>
        <v>0</v>
      </c>
      <c r="Q419" s="170">
        <f t="shared" si="2224"/>
        <v>0</v>
      </c>
      <c r="R419" s="61">
        <f t="shared" ref="R419:T419" si="2225">IF(BK419=0,SUM(AA419+AD419+AG419+AJ419+AM419+AP419+AS419+AV419+AY419+BB419+BE419+BH419),BK419)</f>
        <v>0</v>
      </c>
      <c r="S419" s="61">
        <f t="shared" si="2225"/>
        <v>0</v>
      </c>
      <c r="T419" s="61">
        <f t="shared" si="2225"/>
        <v>0</v>
      </c>
      <c r="U419" s="63">
        <f>K419-O419</f>
        <v>0</v>
      </c>
      <c r="V419" s="63">
        <f>L419-M419-S419</f>
        <v>0</v>
      </c>
      <c r="W419" s="63">
        <f>N419-Q419</f>
        <v>0</v>
      </c>
      <c r="X419" s="64">
        <f t="shared" ref="X419:Y419" si="2226">IF(O419&gt;0,O419/K419,0)</f>
        <v>0</v>
      </c>
      <c r="Y419" s="64">
        <f t="shared" si="2226"/>
        <v>0</v>
      </c>
      <c r="Z419" s="64">
        <f t="shared" si="1658"/>
        <v>0</v>
      </c>
      <c r="AA419" s="65"/>
      <c r="AB419" s="65"/>
      <c r="AC419" s="65"/>
      <c r="AD419" s="65"/>
      <c r="AE419" s="66"/>
      <c r="AF419" s="66"/>
      <c r="AG419" s="66"/>
      <c r="AH419" s="66"/>
      <c r="AI419" s="65"/>
      <c r="AJ419" s="65"/>
      <c r="AK419" s="65"/>
      <c r="AL419" s="100">
        <v>0</v>
      </c>
      <c r="AM419" s="65"/>
      <c r="AN419" s="65"/>
      <c r="AO419" s="65"/>
      <c r="AP419" s="65"/>
      <c r="AQ419" s="65"/>
      <c r="AR419" s="65"/>
      <c r="AS419" s="65"/>
      <c r="AT419" s="65"/>
      <c r="AU419" s="65"/>
      <c r="AV419" s="65"/>
      <c r="AW419" s="65"/>
      <c r="AX419" s="65"/>
      <c r="AY419" s="65"/>
      <c r="AZ419" s="65"/>
      <c r="BA419" s="65"/>
      <c r="BB419" s="65"/>
      <c r="BC419" s="65"/>
      <c r="BD419" s="65"/>
      <c r="BE419" s="65"/>
      <c r="BF419" s="65"/>
      <c r="BG419" s="65"/>
      <c r="BH419" s="65"/>
      <c r="BI419" s="65"/>
      <c r="BJ419" s="65"/>
      <c r="BK419" s="65">
        <v>0</v>
      </c>
      <c r="BL419" s="65">
        <v>0</v>
      </c>
      <c r="BM419" s="65">
        <v>0</v>
      </c>
      <c r="BN419" s="65">
        <f>IF(O419-BK419&gt;0,O419-BK419,0)</f>
        <v>0</v>
      </c>
      <c r="BO419" s="67">
        <f>IF(Q419-BM419&gt;0,Q419-BM419,0)</f>
        <v>0</v>
      </c>
      <c r="BP419" s="65">
        <f>IF(BN419+BO419&gt;0,BN419+BO419,0)</f>
        <v>0</v>
      </c>
      <c r="BQ419" s="65">
        <f>IF(U419=0,0,U419)</f>
        <v>0</v>
      </c>
      <c r="BR419" s="65">
        <f>IF(W419=0,0,W419)</f>
        <v>0</v>
      </c>
      <c r="BS419" s="65">
        <f>IF(BQ419+BR419&gt;0,BQ419+BR419,0)</f>
        <v>0</v>
      </c>
      <c r="BT419" s="65">
        <f>IF(V419&gt;0,V419,0)</f>
        <v>0</v>
      </c>
      <c r="BU419" s="65">
        <f>IF(BP419=0,0,BP419)</f>
        <v>0</v>
      </c>
      <c r="BV419" s="65">
        <f>IF(BS419=0,0,BS419)</f>
        <v>0</v>
      </c>
      <c r="BW419" s="65">
        <f>IF(BP419+BT419+BV419&gt;0,BP419+BT419+BV419,0)</f>
        <v>0</v>
      </c>
      <c r="BX419" s="6"/>
      <c r="BY419" s="6"/>
      <c r="BZ419" s="6"/>
      <c r="CA419" s="6"/>
      <c r="CB419" s="6"/>
      <c r="CC419" s="6"/>
      <c r="CD419" s="6"/>
      <c r="CE419" s="6"/>
      <c r="CF419" s="6"/>
      <c r="CG419" s="6"/>
    </row>
    <row r="420" spans="1:85" ht="15.75" customHeight="1">
      <c r="A420" s="325"/>
      <c r="B420" s="326"/>
      <c r="C420" s="327"/>
      <c r="D420" s="328" t="s">
        <v>530</v>
      </c>
      <c r="E420" s="329">
        <f t="shared" ref="E420:H420" si="2227">E421+E423+E458+E460+E471+E477+E479+E481</f>
        <v>0</v>
      </c>
      <c r="F420" s="329">
        <f t="shared" si="2227"/>
        <v>0</v>
      </c>
      <c r="G420" s="329">
        <f t="shared" si="2227"/>
        <v>0</v>
      </c>
      <c r="H420" s="329">
        <f t="shared" si="2227"/>
        <v>2073197.3100000003</v>
      </c>
      <c r="I420" s="330">
        <f t="shared" si="1582"/>
        <v>0</v>
      </c>
      <c r="J420" s="330">
        <f t="shared" si="1583"/>
        <v>0</v>
      </c>
      <c r="K420" s="329">
        <f t="shared" ref="K420:W420" si="2228">K421+K423+K458+K460+K471+K477+K479+K481</f>
        <v>0</v>
      </c>
      <c r="L420" s="329">
        <f t="shared" si="2228"/>
        <v>288355.57999999996</v>
      </c>
      <c r="M420" s="329">
        <f t="shared" si="2228"/>
        <v>0</v>
      </c>
      <c r="N420" s="329">
        <f t="shared" si="2228"/>
        <v>1722069.55</v>
      </c>
      <c r="O420" s="329">
        <f t="shared" si="2228"/>
        <v>0</v>
      </c>
      <c r="P420" s="329">
        <f t="shared" si="2228"/>
        <v>267641.43</v>
      </c>
      <c r="Q420" s="329">
        <f t="shared" si="2228"/>
        <v>668611.92999999993</v>
      </c>
      <c r="R420" s="329">
        <f t="shared" si="2228"/>
        <v>0</v>
      </c>
      <c r="S420" s="329">
        <f t="shared" si="2228"/>
        <v>267641.43</v>
      </c>
      <c r="T420" s="329">
        <f t="shared" si="2228"/>
        <v>668611.92999999993</v>
      </c>
      <c r="U420" s="329">
        <f t="shared" si="2228"/>
        <v>0</v>
      </c>
      <c r="V420" s="329">
        <f t="shared" si="2228"/>
        <v>20714.150000000001</v>
      </c>
      <c r="W420" s="329">
        <f t="shared" si="2228"/>
        <v>1053457.6199999999</v>
      </c>
      <c r="X420" s="339">
        <f t="shared" ref="X420:Y420" si="2229">IF(O420&gt;0,O420/K420,0)</f>
        <v>0</v>
      </c>
      <c r="Y420" s="339">
        <f t="shared" si="2229"/>
        <v>0.92816455988124114</v>
      </c>
      <c r="Z420" s="339">
        <f t="shared" si="1658"/>
        <v>0.38826070062036688</v>
      </c>
      <c r="AA420" s="329">
        <f t="shared" ref="AA420:BW420" si="2230">AA421+AA423+AA458+AA460+AA471+AA477+AA479+AA481</f>
        <v>0</v>
      </c>
      <c r="AB420" s="329">
        <f t="shared" si="2230"/>
        <v>6079.6</v>
      </c>
      <c r="AC420" s="329">
        <f t="shared" si="2230"/>
        <v>0</v>
      </c>
      <c r="AD420" s="329">
        <f t="shared" si="2230"/>
        <v>0</v>
      </c>
      <c r="AE420" s="329">
        <f t="shared" si="2230"/>
        <v>38904.99</v>
      </c>
      <c r="AF420" s="329">
        <f t="shared" si="2230"/>
        <v>94301.75</v>
      </c>
      <c r="AG420" s="329">
        <f t="shared" si="2230"/>
        <v>0</v>
      </c>
      <c r="AH420" s="329">
        <f t="shared" si="2230"/>
        <v>84852.84</v>
      </c>
      <c r="AI420" s="329">
        <f t="shared" si="2230"/>
        <v>109645.69</v>
      </c>
      <c r="AJ420" s="329">
        <f t="shared" si="2230"/>
        <v>0</v>
      </c>
      <c r="AK420" s="329">
        <f t="shared" si="2230"/>
        <v>79644.23</v>
      </c>
      <c r="AL420" s="329">
        <f t="shared" si="2230"/>
        <v>134350.56</v>
      </c>
      <c r="AM420" s="329">
        <f t="shared" si="2230"/>
        <v>0</v>
      </c>
      <c r="AN420" s="329">
        <f t="shared" si="2230"/>
        <v>37411.369999999995</v>
      </c>
      <c r="AO420" s="329">
        <f t="shared" si="2230"/>
        <v>141929.41</v>
      </c>
      <c r="AP420" s="329">
        <f t="shared" si="2230"/>
        <v>0</v>
      </c>
      <c r="AQ420" s="329">
        <f t="shared" si="2230"/>
        <v>20748.399999999998</v>
      </c>
      <c r="AR420" s="329">
        <f t="shared" si="2230"/>
        <v>188384.52000000002</v>
      </c>
      <c r="AS420" s="329">
        <f t="shared" si="2230"/>
        <v>0</v>
      </c>
      <c r="AT420" s="329">
        <f t="shared" si="2230"/>
        <v>0</v>
      </c>
      <c r="AU420" s="329">
        <f t="shared" si="2230"/>
        <v>0</v>
      </c>
      <c r="AV420" s="329">
        <f t="shared" si="2230"/>
        <v>0</v>
      </c>
      <c r="AW420" s="329">
        <f t="shared" si="2230"/>
        <v>0</v>
      </c>
      <c r="AX420" s="329">
        <f t="shared" si="2230"/>
        <v>0</v>
      </c>
      <c r="AY420" s="329">
        <f t="shared" si="2230"/>
        <v>0</v>
      </c>
      <c r="AZ420" s="329">
        <f t="shared" si="2230"/>
        <v>0</v>
      </c>
      <c r="BA420" s="329">
        <f t="shared" si="2230"/>
        <v>0</v>
      </c>
      <c r="BB420" s="329">
        <f t="shared" si="2230"/>
        <v>0</v>
      </c>
      <c r="BC420" s="329">
        <f t="shared" si="2230"/>
        <v>0</v>
      </c>
      <c r="BD420" s="329">
        <f t="shared" si="2230"/>
        <v>0</v>
      </c>
      <c r="BE420" s="329">
        <f t="shared" si="2230"/>
        <v>0</v>
      </c>
      <c r="BF420" s="329">
        <f t="shared" si="2230"/>
        <v>0</v>
      </c>
      <c r="BG420" s="329">
        <f t="shared" si="2230"/>
        <v>0</v>
      </c>
      <c r="BH420" s="329">
        <f t="shared" si="2230"/>
        <v>0</v>
      </c>
      <c r="BI420" s="329">
        <f t="shared" si="2230"/>
        <v>0</v>
      </c>
      <c r="BJ420" s="329">
        <f t="shared" si="2230"/>
        <v>0</v>
      </c>
      <c r="BK420" s="329">
        <f t="shared" si="2230"/>
        <v>0</v>
      </c>
      <c r="BL420" s="329">
        <f t="shared" si="2230"/>
        <v>0</v>
      </c>
      <c r="BM420" s="329">
        <f t="shared" si="2230"/>
        <v>0</v>
      </c>
      <c r="BN420" s="329">
        <f t="shared" si="2230"/>
        <v>0</v>
      </c>
      <c r="BO420" s="329">
        <f t="shared" si="2230"/>
        <v>668611.92999999993</v>
      </c>
      <c r="BP420" s="329">
        <f t="shared" si="2230"/>
        <v>668611.92999999993</v>
      </c>
      <c r="BQ420" s="329">
        <f t="shared" si="2230"/>
        <v>0</v>
      </c>
      <c r="BR420" s="329">
        <f t="shared" si="2230"/>
        <v>1034937.6199999999</v>
      </c>
      <c r="BS420" s="329">
        <f t="shared" si="2230"/>
        <v>1034937.6199999999</v>
      </c>
      <c r="BT420" s="329">
        <f t="shared" si="2230"/>
        <v>20714.150000000001</v>
      </c>
      <c r="BU420" s="329">
        <f t="shared" si="2230"/>
        <v>668611.92999999993</v>
      </c>
      <c r="BV420" s="329">
        <f t="shared" si="2230"/>
        <v>1034937.6199999999</v>
      </c>
      <c r="BW420" s="329">
        <f t="shared" si="2230"/>
        <v>1724263.7</v>
      </c>
      <c r="BX420" s="6"/>
      <c r="BY420" s="6"/>
      <c r="BZ420" s="6"/>
      <c r="CA420" s="6"/>
      <c r="CB420" s="6"/>
      <c r="CC420" s="6"/>
      <c r="CD420" s="6"/>
      <c r="CE420" s="6"/>
      <c r="CF420" s="6"/>
      <c r="CG420" s="6"/>
    </row>
    <row r="421" spans="1:85" ht="15.75" customHeight="1">
      <c r="A421" s="317"/>
      <c r="B421" s="318"/>
      <c r="C421" s="319"/>
      <c r="D421" s="44" t="s">
        <v>467</v>
      </c>
      <c r="E421" s="45">
        <f t="shared" ref="E421:H421" si="2231">E422</f>
        <v>0</v>
      </c>
      <c r="F421" s="46">
        <f t="shared" si="2231"/>
        <v>0</v>
      </c>
      <c r="G421" s="46">
        <f t="shared" si="2231"/>
        <v>0</v>
      </c>
      <c r="H421" s="46">
        <f t="shared" si="2231"/>
        <v>0</v>
      </c>
      <c r="I421" s="47">
        <f t="shared" si="1582"/>
        <v>0</v>
      </c>
      <c r="J421" s="47">
        <f t="shared" si="1583"/>
        <v>0</v>
      </c>
      <c r="K421" s="46">
        <f t="shared" ref="K421:W421" si="2232">K422</f>
        <v>0</v>
      </c>
      <c r="L421" s="46">
        <f t="shared" si="2232"/>
        <v>0</v>
      </c>
      <c r="M421" s="46">
        <f t="shared" si="2232"/>
        <v>0</v>
      </c>
      <c r="N421" s="46">
        <f t="shared" si="2232"/>
        <v>0</v>
      </c>
      <c r="O421" s="46">
        <f t="shared" si="2232"/>
        <v>0</v>
      </c>
      <c r="P421" s="46">
        <f t="shared" si="2232"/>
        <v>0</v>
      </c>
      <c r="Q421" s="46">
        <f t="shared" si="2232"/>
        <v>0</v>
      </c>
      <c r="R421" s="46">
        <f t="shared" si="2232"/>
        <v>0</v>
      </c>
      <c r="S421" s="46">
        <f t="shared" si="2232"/>
        <v>0</v>
      </c>
      <c r="T421" s="46">
        <f t="shared" si="2232"/>
        <v>0</v>
      </c>
      <c r="U421" s="46">
        <f t="shared" si="2232"/>
        <v>0</v>
      </c>
      <c r="V421" s="46">
        <f t="shared" si="2232"/>
        <v>0</v>
      </c>
      <c r="W421" s="46">
        <f t="shared" si="2232"/>
        <v>0</v>
      </c>
      <c r="X421" s="50">
        <f t="shared" ref="X421:Y421" si="2233">IF(O421&gt;0,O421/K421,0)</f>
        <v>0</v>
      </c>
      <c r="Y421" s="50">
        <f t="shared" si="2233"/>
        <v>0</v>
      </c>
      <c r="Z421" s="50">
        <f t="shared" si="1658"/>
        <v>0</v>
      </c>
      <c r="AA421" s="46">
        <f t="shared" ref="AA421:BW421" si="2234">AA422</f>
        <v>0</v>
      </c>
      <c r="AB421" s="46">
        <f t="shared" si="2234"/>
        <v>0</v>
      </c>
      <c r="AC421" s="46">
        <f t="shared" si="2234"/>
        <v>0</v>
      </c>
      <c r="AD421" s="46">
        <f t="shared" si="2234"/>
        <v>0</v>
      </c>
      <c r="AE421" s="46">
        <f t="shared" si="2234"/>
        <v>0</v>
      </c>
      <c r="AF421" s="46">
        <f t="shared" si="2234"/>
        <v>0</v>
      </c>
      <c r="AG421" s="46">
        <f t="shared" si="2234"/>
        <v>0</v>
      </c>
      <c r="AH421" s="46">
        <f t="shared" si="2234"/>
        <v>0</v>
      </c>
      <c r="AI421" s="46">
        <f t="shared" si="2234"/>
        <v>0</v>
      </c>
      <c r="AJ421" s="46">
        <f t="shared" si="2234"/>
        <v>0</v>
      </c>
      <c r="AK421" s="46">
        <f t="shared" si="2234"/>
        <v>0</v>
      </c>
      <c r="AL421" s="46">
        <f t="shared" si="2234"/>
        <v>0</v>
      </c>
      <c r="AM421" s="46">
        <f t="shared" si="2234"/>
        <v>0</v>
      </c>
      <c r="AN421" s="46">
        <f t="shared" si="2234"/>
        <v>0</v>
      </c>
      <c r="AO421" s="46">
        <f t="shared" si="2234"/>
        <v>0</v>
      </c>
      <c r="AP421" s="46">
        <f t="shared" si="2234"/>
        <v>0</v>
      </c>
      <c r="AQ421" s="46">
        <f t="shared" si="2234"/>
        <v>0</v>
      </c>
      <c r="AR421" s="46">
        <f t="shared" si="2234"/>
        <v>0</v>
      </c>
      <c r="AS421" s="46">
        <f t="shared" si="2234"/>
        <v>0</v>
      </c>
      <c r="AT421" s="46">
        <f t="shared" si="2234"/>
        <v>0</v>
      </c>
      <c r="AU421" s="46">
        <f t="shared" si="2234"/>
        <v>0</v>
      </c>
      <c r="AV421" s="46">
        <f t="shared" si="2234"/>
        <v>0</v>
      </c>
      <c r="AW421" s="46">
        <f t="shared" si="2234"/>
        <v>0</v>
      </c>
      <c r="AX421" s="46">
        <f t="shared" si="2234"/>
        <v>0</v>
      </c>
      <c r="AY421" s="46">
        <f t="shared" si="2234"/>
        <v>0</v>
      </c>
      <c r="AZ421" s="46">
        <f t="shared" si="2234"/>
        <v>0</v>
      </c>
      <c r="BA421" s="46">
        <f t="shared" si="2234"/>
        <v>0</v>
      </c>
      <c r="BB421" s="46">
        <f t="shared" si="2234"/>
        <v>0</v>
      </c>
      <c r="BC421" s="46">
        <f t="shared" si="2234"/>
        <v>0</v>
      </c>
      <c r="BD421" s="46">
        <f t="shared" si="2234"/>
        <v>0</v>
      </c>
      <c r="BE421" s="46">
        <f t="shared" si="2234"/>
        <v>0</v>
      </c>
      <c r="BF421" s="46">
        <f t="shared" si="2234"/>
        <v>0</v>
      </c>
      <c r="BG421" s="46">
        <f t="shared" si="2234"/>
        <v>0</v>
      </c>
      <c r="BH421" s="46">
        <f t="shared" si="2234"/>
        <v>0</v>
      </c>
      <c r="BI421" s="46">
        <f t="shared" si="2234"/>
        <v>0</v>
      </c>
      <c r="BJ421" s="46">
        <f t="shared" si="2234"/>
        <v>0</v>
      </c>
      <c r="BK421" s="46">
        <f t="shared" si="2234"/>
        <v>0</v>
      </c>
      <c r="BL421" s="46">
        <f t="shared" si="2234"/>
        <v>0</v>
      </c>
      <c r="BM421" s="46">
        <f t="shared" si="2234"/>
        <v>0</v>
      </c>
      <c r="BN421" s="46">
        <f t="shared" si="2234"/>
        <v>0</v>
      </c>
      <c r="BO421" s="46">
        <f t="shared" si="2234"/>
        <v>0</v>
      </c>
      <c r="BP421" s="46">
        <f t="shared" si="2234"/>
        <v>0</v>
      </c>
      <c r="BQ421" s="46">
        <f t="shared" si="2234"/>
        <v>0</v>
      </c>
      <c r="BR421" s="46">
        <f t="shared" si="2234"/>
        <v>0</v>
      </c>
      <c r="BS421" s="46">
        <f t="shared" si="2234"/>
        <v>0</v>
      </c>
      <c r="BT421" s="46">
        <f t="shared" si="2234"/>
        <v>0</v>
      </c>
      <c r="BU421" s="46">
        <f t="shared" si="2234"/>
        <v>0</v>
      </c>
      <c r="BV421" s="46">
        <f t="shared" si="2234"/>
        <v>0</v>
      </c>
      <c r="BW421" s="46">
        <f t="shared" si="2234"/>
        <v>0</v>
      </c>
      <c r="BX421" s="6"/>
      <c r="BY421" s="6"/>
      <c r="BZ421" s="6"/>
      <c r="CA421" s="6"/>
      <c r="CB421" s="6"/>
      <c r="CC421" s="6"/>
      <c r="CD421" s="6"/>
      <c r="CE421" s="6"/>
      <c r="CF421" s="6"/>
      <c r="CG421" s="6"/>
    </row>
    <row r="422" spans="1:85" ht="15.75" customHeight="1">
      <c r="A422" s="68"/>
      <c r="B422" s="69"/>
      <c r="C422" s="68" t="s">
        <v>430</v>
      </c>
      <c r="D422" s="335" t="s">
        <v>490</v>
      </c>
      <c r="E422" s="99">
        <v>0</v>
      </c>
      <c r="F422" s="99">
        <v>0</v>
      </c>
      <c r="G422" s="58">
        <f>E422-F422</f>
        <v>0</v>
      </c>
      <c r="H422" s="99">
        <v>0</v>
      </c>
      <c r="I422" s="59"/>
      <c r="J422" s="59"/>
      <c r="K422" s="74">
        <v>0</v>
      </c>
      <c r="L422" s="74">
        <v>0</v>
      </c>
      <c r="M422" s="74">
        <v>0</v>
      </c>
      <c r="N422" s="74">
        <v>0</v>
      </c>
      <c r="O422" s="61">
        <f t="shared" ref="O422:Q422" si="2235">AA422+AD422+AG422+AJ422+AM422+AP422+AS422+AV422+AY422+BB422+BE422+BH422</f>
        <v>0</v>
      </c>
      <c r="P422" s="61">
        <f t="shared" si="2235"/>
        <v>0</v>
      </c>
      <c r="Q422" s="61">
        <f t="shared" si="2235"/>
        <v>0</v>
      </c>
      <c r="R422" s="61">
        <f t="shared" ref="R422:T422" si="2236">IF(BK422=0,SUM(AA422+AD422+AG422+AJ422+AM422+AP422+AS422+AV422+AY422+BB422+BE422+BH422),BK422)</f>
        <v>0</v>
      </c>
      <c r="S422" s="61">
        <f t="shared" si="2236"/>
        <v>0</v>
      </c>
      <c r="T422" s="61">
        <f t="shared" si="2236"/>
        <v>0</v>
      </c>
      <c r="U422" s="63">
        <f>K422-O422</f>
        <v>0</v>
      </c>
      <c r="V422" s="63">
        <f>L422-M422-S422</f>
        <v>0</v>
      </c>
      <c r="W422" s="63">
        <f>N422-Q422</f>
        <v>0</v>
      </c>
      <c r="X422" s="64">
        <f t="shared" ref="X422:Y422" si="2237">IF(O422&gt;0,O422/K422,0)</f>
        <v>0</v>
      </c>
      <c r="Y422" s="64">
        <f t="shared" si="2237"/>
        <v>0</v>
      </c>
      <c r="Z422" s="64">
        <f t="shared" si="1658"/>
        <v>0</v>
      </c>
      <c r="AA422" s="65"/>
      <c r="AB422" s="65"/>
      <c r="AC422" s="65"/>
      <c r="AD422" s="65"/>
      <c r="AE422" s="66"/>
      <c r="AF422" s="66"/>
      <c r="AG422" s="66"/>
      <c r="AH422" s="66"/>
      <c r="AI422" s="65"/>
      <c r="AJ422" s="65"/>
      <c r="AK422" s="65"/>
      <c r="AL422" s="65"/>
      <c r="AM422" s="65"/>
      <c r="AN422" s="65"/>
      <c r="AO422" s="65"/>
      <c r="AP422" s="65"/>
      <c r="AQ422" s="65"/>
      <c r="AR422" s="65"/>
      <c r="AS422" s="65"/>
      <c r="AT422" s="65"/>
      <c r="AU422" s="65"/>
      <c r="AV422" s="65"/>
      <c r="AW422" s="65"/>
      <c r="AX422" s="65"/>
      <c r="AY422" s="65"/>
      <c r="AZ422" s="65"/>
      <c r="BA422" s="65"/>
      <c r="BB422" s="65"/>
      <c r="BC422" s="65"/>
      <c r="BD422" s="65"/>
      <c r="BE422" s="65"/>
      <c r="BF422" s="65"/>
      <c r="BG422" s="65"/>
      <c r="BH422" s="65"/>
      <c r="BI422" s="65"/>
      <c r="BJ422" s="65"/>
      <c r="BK422" s="65">
        <v>0</v>
      </c>
      <c r="BL422" s="65">
        <v>0</v>
      </c>
      <c r="BM422" s="65">
        <v>0</v>
      </c>
      <c r="BN422" s="65">
        <f>IF(O422-BK422&gt;0,O422-BK422,0)</f>
        <v>0</v>
      </c>
      <c r="BO422" s="67">
        <f>IF(Q422-BM422&gt;0,Q422-BM422,0)</f>
        <v>0</v>
      </c>
      <c r="BP422" s="65">
        <f>IF(BN422+BO422&gt;0,BN422+BO422,0)</f>
        <v>0</v>
      </c>
      <c r="BQ422" s="65">
        <f>IF(U422=0,0,U422)</f>
        <v>0</v>
      </c>
      <c r="BR422" s="65">
        <f>IF(W422=0,0,W422)</f>
        <v>0</v>
      </c>
      <c r="BS422" s="65">
        <f>IF(BQ422+BR422&gt;0,BQ422+BR422,0)</f>
        <v>0</v>
      </c>
      <c r="BT422" s="65">
        <f>IF(V422&gt;0,V422,0)</f>
        <v>0</v>
      </c>
      <c r="BU422" s="65">
        <f>IF(BP422=0,0,BP422)</f>
        <v>0</v>
      </c>
      <c r="BV422" s="65">
        <f>IF(BS422=0,0,BS422)</f>
        <v>0</v>
      </c>
      <c r="BW422" s="65">
        <f>IF(BP422+BT422+BV422&gt;0,BP422+BT422+BV422,0)</f>
        <v>0</v>
      </c>
      <c r="BX422" s="6"/>
      <c r="BY422" s="6"/>
      <c r="BZ422" s="6"/>
      <c r="CA422" s="6"/>
      <c r="CB422" s="6"/>
      <c r="CC422" s="6"/>
      <c r="CD422" s="6"/>
      <c r="CE422" s="6"/>
      <c r="CF422" s="6"/>
      <c r="CG422" s="6"/>
    </row>
    <row r="423" spans="1:85" ht="15.75">
      <c r="A423" s="75"/>
      <c r="B423" s="76"/>
      <c r="C423" s="77"/>
      <c r="D423" s="78" t="s">
        <v>83</v>
      </c>
      <c r="E423" s="45">
        <f t="shared" ref="E423:H423" si="2238">SUM(E424:E457)</f>
        <v>0</v>
      </c>
      <c r="F423" s="45">
        <f t="shared" si="2238"/>
        <v>0</v>
      </c>
      <c r="G423" s="45">
        <f t="shared" si="2238"/>
        <v>0</v>
      </c>
      <c r="H423" s="45">
        <f t="shared" si="2238"/>
        <v>338724.39</v>
      </c>
      <c r="I423" s="47">
        <f t="shared" ref="I423:I462" si="2239">IF(G423&gt;0,K423/G423,0)</f>
        <v>0</v>
      </c>
      <c r="J423" s="47">
        <f t="shared" ref="J423:J462" si="2240">IF(G423&gt;0,O423/G423,0)</f>
        <v>0</v>
      </c>
      <c r="K423" s="45">
        <f t="shared" ref="K423:W423" si="2241">SUM(K424:K457)</f>
        <v>0</v>
      </c>
      <c r="L423" s="45">
        <f t="shared" si="2241"/>
        <v>201272.62</v>
      </c>
      <c r="M423" s="45">
        <f t="shared" si="2241"/>
        <v>0</v>
      </c>
      <c r="N423" s="45">
        <f t="shared" si="2241"/>
        <v>245566.49</v>
      </c>
      <c r="O423" s="45">
        <f t="shared" si="2241"/>
        <v>0</v>
      </c>
      <c r="P423" s="45">
        <f t="shared" si="2241"/>
        <v>182837.62</v>
      </c>
      <c r="Q423" s="45">
        <f t="shared" si="2241"/>
        <v>103915.99</v>
      </c>
      <c r="R423" s="45">
        <f t="shared" si="2241"/>
        <v>0</v>
      </c>
      <c r="S423" s="45">
        <f t="shared" si="2241"/>
        <v>182837.62</v>
      </c>
      <c r="T423" s="45">
        <f t="shared" si="2241"/>
        <v>103915.99</v>
      </c>
      <c r="U423" s="45">
        <f t="shared" si="2241"/>
        <v>0</v>
      </c>
      <c r="V423" s="45">
        <f t="shared" si="2241"/>
        <v>18435</v>
      </c>
      <c r="W423" s="45">
        <f t="shared" si="2241"/>
        <v>141650.49999999997</v>
      </c>
      <c r="X423" s="50">
        <f t="shared" ref="X423:Y423" si="2242">IF(O423&gt;0,O423/K423,0)</f>
        <v>0</v>
      </c>
      <c r="Y423" s="50">
        <f t="shared" si="2242"/>
        <v>0.9084078102625186</v>
      </c>
      <c r="Z423" s="50">
        <f t="shared" si="1658"/>
        <v>0.42316844615077576</v>
      </c>
      <c r="AA423" s="45">
        <f t="shared" ref="AA423:BW423" si="2243">SUM(AA424:AA457)</f>
        <v>0</v>
      </c>
      <c r="AB423" s="45">
        <f t="shared" si="2243"/>
        <v>0</v>
      </c>
      <c r="AC423" s="45">
        <f t="shared" si="2243"/>
        <v>0</v>
      </c>
      <c r="AD423" s="45">
        <f t="shared" si="2243"/>
        <v>0</v>
      </c>
      <c r="AE423" s="45">
        <f t="shared" si="2243"/>
        <v>0</v>
      </c>
      <c r="AF423" s="45">
        <f t="shared" si="2243"/>
        <v>4699.03</v>
      </c>
      <c r="AG423" s="45">
        <f t="shared" si="2243"/>
        <v>0</v>
      </c>
      <c r="AH423" s="45">
        <f t="shared" si="2243"/>
        <v>67403</v>
      </c>
      <c r="AI423" s="45">
        <f t="shared" si="2243"/>
        <v>21431.579999999998</v>
      </c>
      <c r="AJ423" s="45">
        <f t="shared" si="2243"/>
        <v>0</v>
      </c>
      <c r="AK423" s="45">
        <f t="shared" si="2243"/>
        <v>63506.42</v>
      </c>
      <c r="AL423" s="45">
        <f t="shared" si="2243"/>
        <v>4661.26</v>
      </c>
      <c r="AM423" s="45">
        <f t="shared" si="2243"/>
        <v>0</v>
      </c>
      <c r="AN423" s="45">
        <f t="shared" si="2243"/>
        <v>32405.1</v>
      </c>
      <c r="AO423" s="45">
        <f t="shared" si="2243"/>
        <v>37990.719999999994</v>
      </c>
      <c r="AP423" s="45">
        <f t="shared" si="2243"/>
        <v>0</v>
      </c>
      <c r="AQ423" s="45">
        <f t="shared" si="2243"/>
        <v>19523.099999999999</v>
      </c>
      <c r="AR423" s="45">
        <f t="shared" si="2243"/>
        <v>35133.400000000009</v>
      </c>
      <c r="AS423" s="45">
        <f t="shared" si="2243"/>
        <v>0</v>
      </c>
      <c r="AT423" s="45">
        <f t="shared" si="2243"/>
        <v>0</v>
      </c>
      <c r="AU423" s="45">
        <f t="shared" si="2243"/>
        <v>0</v>
      </c>
      <c r="AV423" s="45">
        <f t="shared" si="2243"/>
        <v>0</v>
      </c>
      <c r="AW423" s="45">
        <f t="shared" si="2243"/>
        <v>0</v>
      </c>
      <c r="AX423" s="45">
        <f t="shared" si="2243"/>
        <v>0</v>
      </c>
      <c r="AY423" s="45">
        <f t="shared" si="2243"/>
        <v>0</v>
      </c>
      <c r="AZ423" s="45">
        <f t="shared" si="2243"/>
        <v>0</v>
      </c>
      <c r="BA423" s="45">
        <f t="shared" si="2243"/>
        <v>0</v>
      </c>
      <c r="BB423" s="45">
        <f t="shared" si="2243"/>
        <v>0</v>
      </c>
      <c r="BC423" s="45">
        <f t="shared" si="2243"/>
        <v>0</v>
      </c>
      <c r="BD423" s="45">
        <f t="shared" si="2243"/>
        <v>0</v>
      </c>
      <c r="BE423" s="45">
        <f t="shared" si="2243"/>
        <v>0</v>
      </c>
      <c r="BF423" s="45">
        <f t="shared" si="2243"/>
        <v>0</v>
      </c>
      <c r="BG423" s="45">
        <f t="shared" si="2243"/>
        <v>0</v>
      </c>
      <c r="BH423" s="45">
        <f t="shared" si="2243"/>
        <v>0</v>
      </c>
      <c r="BI423" s="45">
        <f t="shared" si="2243"/>
        <v>0</v>
      </c>
      <c r="BJ423" s="45">
        <f t="shared" si="2243"/>
        <v>0</v>
      </c>
      <c r="BK423" s="45">
        <f t="shared" si="2243"/>
        <v>0</v>
      </c>
      <c r="BL423" s="45">
        <f t="shared" si="2243"/>
        <v>0</v>
      </c>
      <c r="BM423" s="45">
        <f t="shared" si="2243"/>
        <v>0</v>
      </c>
      <c r="BN423" s="45">
        <f t="shared" si="2243"/>
        <v>0</v>
      </c>
      <c r="BO423" s="45">
        <f t="shared" si="2243"/>
        <v>103915.99</v>
      </c>
      <c r="BP423" s="45">
        <f t="shared" si="2243"/>
        <v>103915.99</v>
      </c>
      <c r="BQ423" s="45">
        <f t="shared" si="2243"/>
        <v>0</v>
      </c>
      <c r="BR423" s="45">
        <f t="shared" si="2243"/>
        <v>123130.50000000001</v>
      </c>
      <c r="BS423" s="45">
        <f t="shared" si="2243"/>
        <v>123130.50000000001</v>
      </c>
      <c r="BT423" s="45">
        <f t="shared" si="2243"/>
        <v>18435</v>
      </c>
      <c r="BU423" s="45">
        <f t="shared" si="2243"/>
        <v>103915.99</v>
      </c>
      <c r="BV423" s="45">
        <f t="shared" si="2243"/>
        <v>123130.50000000001</v>
      </c>
      <c r="BW423" s="45">
        <f t="shared" si="2243"/>
        <v>245481.49</v>
      </c>
      <c r="BX423" s="51"/>
      <c r="BY423" s="51"/>
      <c r="BZ423" s="51"/>
      <c r="CA423" s="51"/>
      <c r="CB423" s="51"/>
      <c r="CC423" s="51"/>
      <c r="CD423" s="51"/>
      <c r="CE423" s="51"/>
      <c r="CF423" s="51"/>
      <c r="CG423" s="51"/>
    </row>
    <row r="424" spans="1:85" ht="15.75" customHeight="1">
      <c r="A424" s="52" t="s">
        <v>531</v>
      </c>
      <c r="B424" s="103"/>
      <c r="C424" s="68" t="s">
        <v>86</v>
      </c>
      <c r="D424" s="105" t="s">
        <v>532</v>
      </c>
      <c r="E424" s="99">
        <v>0</v>
      </c>
      <c r="F424" s="99">
        <v>0</v>
      </c>
      <c r="G424" s="58">
        <f t="shared" ref="G424:G457" si="2244">E424-F424</f>
        <v>0</v>
      </c>
      <c r="H424" s="56">
        <v>100000</v>
      </c>
      <c r="I424" s="59">
        <f t="shared" si="2239"/>
        <v>0</v>
      </c>
      <c r="J424" s="59">
        <f t="shared" si="2240"/>
        <v>0</v>
      </c>
      <c r="K424" s="74">
        <v>0</v>
      </c>
      <c r="L424" s="74">
        <v>0</v>
      </c>
      <c r="M424" s="74">
        <v>0</v>
      </c>
      <c r="N424" s="74">
        <v>18141.599999999999</v>
      </c>
      <c r="O424" s="61">
        <f t="shared" ref="O424:Q424" si="2245">AA424+AD424+AG424+AJ424+AM424+AP424+AS424+AV424+AY424+BB424+BE424+BH424</f>
        <v>0</v>
      </c>
      <c r="P424" s="61">
        <f t="shared" si="2245"/>
        <v>0</v>
      </c>
      <c r="Q424" s="170">
        <f t="shared" si="2245"/>
        <v>18141.599999999999</v>
      </c>
      <c r="R424" s="61">
        <f t="shared" ref="R424:T424" si="2246">IF(BK424=0,SUM(AA424+AD424+AG424+AJ424+AM424+AP424+AS424+AV424+AY424+BB424+BE424+BH424),BK424)</f>
        <v>0</v>
      </c>
      <c r="S424" s="61">
        <f t="shared" si="2246"/>
        <v>0</v>
      </c>
      <c r="T424" s="61">
        <f t="shared" si="2246"/>
        <v>18141.599999999999</v>
      </c>
      <c r="U424" s="63">
        <f t="shared" ref="U424:U457" si="2247">K424-O424</f>
        <v>0</v>
      </c>
      <c r="V424" s="63">
        <f t="shared" ref="V424:V457" si="2248">L424-M424-S424</f>
        <v>0</v>
      </c>
      <c r="W424" s="63">
        <f t="shared" ref="W424:W457" si="2249">N424-Q424</f>
        <v>0</v>
      </c>
      <c r="X424" s="64">
        <f t="shared" ref="X424:Y424" si="2250">IF(O424&gt;0,O424/K424,0)</f>
        <v>0</v>
      </c>
      <c r="Y424" s="64">
        <f t="shared" si="2250"/>
        <v>0</v>
      </c>
      <c r="Z424" s="64">
        <f t="shared" si="1658"/>
        <v>1</v>
      </c>
      <c r="AA424" s="65"/>
      <c r="AB424" s="65"/>
      <c r="AC424" s="65"/>
      <c r="AD424" s="65"/>
      <c r="AE424" s="66"/>
      <c r="AF424" s="66"/>
      <c r="AG424" s="66"/>
      <c r="AH424" s="66"/>
      <c r="AI424" s="100">
        <v>18141.599999999999</v>
      </c>
      <c r="AJ424" s="65"/>
      <c r="AK424" s="65"/>
      <c r="AL424" s="65"/>
      <c r="AM424" s="65"/>
      <c r="AN424" s="65"/>
      <c r="AO424" s="65"/>
      <c r="AP424" s="65"/>
      <c r="AQ424" s="65"/>
      <c r="AR424" s="65"/>
      <c r="AS424" s="65"/>
      <c r="AT424" s="65"/>
      <c r="AU424" s="65"/>
      <c r="AV424" s="65"/>
      <c r="AW424" s="65"/>
      <c r="AX424" s="65"/>
      <c r="AY424" s="65"/>
      <c r="AZ424" s="65"/>
      <c r="BA424" s="65"/>
      <c r="BB424" s="65"/>
      <c r="BC424" s="65"/>
      <c r="BD424" s="65"/>
      <c r="BE424" s="65"/>
      <c r="BF424" s="65"/>
      <c r="BG424" s="65"/>
      <c r="BH424" s="65"/>
      <c r="BI424" s="65"/>
      <c r="BJ424" s="65"/>
      <c r="BK424" s="65">
        <v>0</v>
      </c>
      <c r="BL424" s="65">
        <v>0</v>
      </c>
      <c r="BM424" s="65">
        <v>0</v>
      </c>
      <c r="BN424" s="65">
        <f>IF(O424-BK424&gt;0,O424-BK424,0)</f>
        <v>0</v>
      </c>
      <c r="BO424" s="67">
        <f>IF(Q424-BM424&gt;0,Q424-BM424,0)</f>
        <v>18141.599999999999</v>
      </c>
      <c r="BP424" s="65">
        <f>IF(BN424+BO424&gt;0,BN424+BO424,0)</f>
        <v>18141.599999999999</v>
      </c>
      <c r="BQ424" s="65">
        <f>IF(U424=0,0,U424)</f>
        <v>0</v>
      </c>
      <c r="BR424" s="65">
        <f>IF(W424=0,0,W424)</f>
        <v>0</v>
      </c>
      <c r="BS424" s="65">
        <f>IF(BQ424+BR424&gt;0,BQ424+BR424,0)</f>
        <v>0</v>
      </c>
      <c r="BT424" s="65">
        <f>IF(V424&gt;0,V424,0)</f>
        <v>0</v>
      </c>
      <c r="BU424" s="65">
        <f>IF(BP424=0,0,BP424)</f>
        <v>18141.599999999999</v>
      </c>
      <c r="BV424" s="65">
        <f>IF(BS424=0,0,BS424)</f>
        <v>0</v>
      </c>
      <c r="BW424" s="65">
        <f>IF(BP424+BT424+BV424&gt;0,BP424+BT424+BV424,0)</f>
        <v>18141.599999999999</v>
      </c>
      <c r="BX424" s="6"/>
      <c r="BY424" s="6"/>
      <c r="BZ424" s="6"/>
      <c r="CA424" s="6"/>
      <c r="CB424" s="6"/>
      <c r="CC424" s="6"/>
      <c r="CD424" s="6"/>
      <c r="CE424" s="6"/>
      <c r="CF424" s="6"/>
      <c r="CG424" s="6"/>
    </row>
    <row r="425" spans="1:85" ht="15.75" customHeight="1">
      <c r="A425" s="52" t="s">
        <v>533</v>
      </c>
      <c r="B425" s="348"/>
      <c r="C425" s="68" t="s">
        <v>86</v>
      </c>
      <c r="D425" s="105" t="s">
        <v>534</v>
      </c>
      <c r="E425" s="99">
        <v>0</v>
      </c>
      <c r="F425" s="99">
        <v>0</v>
      </c>
      <c r="G425" s="58">
        <f t="shared" si="2244"/>
        <v>0</v>
      </c>
      <c r="H425" s="57">
        <v>0</v>
      </c>
      <c r="I425" s="59">
        <f t="shared" si="2239"/>
        <v>0</v>
      </c>
      <c r="J425" s="59">
        <f t="shared" si="2240"/>
        <v>0</v>
      </c>
      <c r="K425" s="74">
        <v>0</v>
      </c>
      <c r="L425" s="74">
        <v>0</v>
      </c>
      <c r="M425" s="74">
        <v>0</v>
      </c>
      <c r="N425" s="74">
        <v>18520</v>
      </c>
      <c r="O425" s="61">
        <f t="shared" ref="O425:Q425" si="2251">AA425+AD425+AG425+AJ425+AM425+AP425+AS425+AV425+AY425+BB425+BE425+BH425</f>
        <v>0</v>
      </c>
      <c r="P425" s="61">
        <f t="shared" si="2251"/>
        <v>0</v>
      </c>
      <c r="Q425" s="170">
        <f t="shared" si="2251"/>
        <v>0</v>
      </c>
      <c r="R425" s="61">
        <f t="shared" ref="R425:T425" si="2252">IF(BK425=0,SUM(AA425+AD425+AG425+AJ425+AM425+AP425+AS425+AV425+AY425+BB425+BE425+BH425),BK425)</f>
        <v>0</v>
      </c>
      <c r="S425" s="61">
        <f t="shared" si="2252"/>
        <v>0</v>
      </c>
      <c r="T425" s="61">
        <f t="shared" si="2252"/>
        <v>0</v>
      </c>
      <c r="U425" s="63">
        <f t="shared" si="2247"/>
        <v>0</v>
      </c>
      <c r="V425" s="63">
        <f t="shared" si="2248"/>
        <v>0</v>
      </c>
      <c r="W425" s="62">
        <f t="shared" si="2249"/>
        <v>18520</v>
      </c>
      <c r="X425" s="64">
        <f t="shared" ref="X425:Y425" si="2253">IF(O425&gt;0,O425/K425,0)</f>
        <v>0</v>
      </c>
      <c r="Y425" s="64">
        <f t="shared" si="2253"/>
        <v>0</v>
      </c>
      <c r="Z425" s="64">
        <f t="shared" si="1658"/>
        <v>0</v>
      </c>
      <c r="AA425" s="65"/>
      <c r="AB425" s="65"/>
      <c r="AC425" s="65"/>
      <c r="AD425" s="65"/>
      <c r="AE425" s="66"/>
      <c r="AF425" s="66"/>
      <c r="AG425" s="66"/>
      <c r="AH425" s="66"/>
      <c r="AI425" s="65"/>
      <c r="AJ425" s="65"/>
      <c r="AK425" s="65"/>
      <c r="AL425" s="65"/>
      <c r="AM425" s="65"/>
      <c r="AN425" s="65"/>
      <c r="AO425" s="65"/>
      <c r="AP425" s="65"/>
      <c r="AQ425" s="65"/>
      <c r="AR425" s="65"/>
      <c r="AS425" s="65"/>
      <c r="AT425" s="65"/>
      <c r="AU425" s="65"/>
      <c r="AV425" s="65"/>
      <c r="AW425" s="65"/>
      <c r="AX425" s="65"/>
      <c r="AY425" s="65"/>
      <c r="AZ425" s="65"/>
      <c r="BA425" s="65"/>
      <c r="BB425" s="65"/>
      <c r="BC425" s="65"/>
      <c r="BD425" s="65"/>
      <c r="BE425" s="65"/>
      <c r="BF425" s="65"/>
      <c r="BG425" s="65"/>
      <c r="BH425" s="65"/>
      <c r="BI425" s="65"/>
      <c r="BJ425" s="65"/>
      <c r="BK425" s="65"/>
      <c r="BL425" s="65"/>
      <c r="BM425" s="65"/>
      <c r="BN425" s="65"/>
      <c r="BO425" s="67"/>
      <c r="BP425" s="65"/>
      <c r="BQ425" s="65"/>
      <c r="BR425" s="65"/>
      <c r="BS425" s="65"/>
      <c r="BT425" s="65"/>
      <c r="BU425" s="65"/>
      <c r="BV425" s="65"/>
      <c r="BW425" s="65"/>
      <c r="BX425" s="6"/>
      <c r="BY425" s="6"/>
      <c r="BZ425" s="6"/>
      <c r="CA425" s="6"/>
      <c r="CB425" s="6"/>
      <c r="CC425" s="6"/>
      <c r="CD425" s="6"/>
      <c r="CE425" s="6"/>
      <c r="CF425" s="6"/>
      <c r="CG425" s="6"/>
    </row>
    <row r="426" spans="1:85" ht="15.75" customHeight="1">
      <c r="A426" s="121"/>
      <c r="B426" s="348"/>
      <c r="C426" s="68" t="s">
        <v>535</v>
      </c>
      <c r="D426" s="124" t="s">
        <v>536</v>
      </c>
      <c r="E426" s="57">
        <v>0</v>
      </c>
      <c r="F426" s="99">
        <v>0</v>
      </c>
      <c r="G426" s="58">
        <f t="shared" si="2244"/>
        <v>0</v>
      </c>
      <c r="H426" s="57">
        <v>0</v>
      </c>
      <c r="I426" s="59">
        <f t="shared" si="2239"/>
        <v>0</v>
      </c>
      <c r="J426" s="59">
        <f t="shared" si="2240"/>
        <v>0</v>
      </c>
      <c r="K426" s="74">
        <v>0</v>
      </c>
      <c r="L426" s="74">
        <v>0</v>
      </c>
      <c r="M426" s="74">
        <v>0</v>
      </c>
      <c r="N426" s="74">
        <v>0</v>
      </c>
      <c r="O426" s="61">
        <f t="shared" ref="O426:Q426" si="2254">AA426+AD426+AG426+AJ426+AM426+AP426+AS426+AV426+AY426+BB426+BE426+BH426</f>
        <v>0</v>
      </c>
      <c r="P426" s="61">
        <f t="shared" si="2254"/>
        <v>0</v>
      </c>
      <c r="Q426" s="61">
        <f t="shared" si="2254"/>
        <v>0</v>
      </c>
      <c r="R426" s="61">
        <f t="shared" ref="R426:T426" si="2255">IF(BK426=0,SUM(AA426+AD426+AG426+AJ426+AM426+AP426+AS426+AV426+AY426+BB426+BE426+BH426),BK426)</f>
        <v>0</v>
      </c>
      <c r="S426" s="61">
        <f t="shared" si="2255"/>
        <v>0</v>
      </c>
      <c r="T426" s="61">
        <f t="shared" si="2255"/>
        <v>0</v>
      </c>
      <c r="U426" s="63">
        <f t="shared" si="2247"/>
        <v>0</v>
      </c>
      <c r="V426" s="63">
        <f t="shared" si="2248"/>
        <v>0</v>
      </c>
      <c r="W426" s="63">
        <f t="shared" si="2249"/>
        <v>0</v>
      </c>
      <c r="X426" s="64">
        <f t="shared" ref="X426:Y426" si="2256">IF(O426&gt;0,O426/K426,0)</f>
        <v>0</v>
      </c>
      <c r="Y426" s="64">
        <f t="shared" si="2256"/>
        <v>0</v>
      </c>
      <c r="Z426" s="64">
        <f t="shared" si="1658"/>
        <v>0</v>
      </c>
      <c r="AA426" s="65"/>
      <c r="AB426" s="65"/>
      <c r="AC426" s="65"/>
      <c r="AD426" s="65"/>
      <c r="AE426" s="66"/>
      <c r="AF426" s="66"/>
      <c r="AG426" s="66"/>
      <c r="AH426" s="66"/>
      <c r="AI426" s="65"/>
      <c r="AJ426" s="65"/>
      <c r="AK426" s="65"/>
      <c r="AL426" s="65"/>
      <c r="AM426" s="65"/>
      <c r="AN426" s="65"/>
      <c r="AO426" s="65"/>
      <c r="AP426" s="65"/>
      <c r="AQ426" s="65"/>
      <c r="AR426" s="65"/>
      <c r="AS426" s="65"/>
      <c r="AT426" s="65"/>
      <c r="AU426" s="65"/>
      <c r="AV426" s="65"/>
      <c r="AW426" s="65"/>
      <c r="AX426" s="65"/>
      <c r="AY426" s="65"/>
      <c r="AZ426" s="65"/>
      <c r="BA426" s="65"/>
      <c r="BB426" s="65"/>
      <c r="BC426" s="65"/>
      <c r="BD426" s="65"/>
      <c r="BE426" s="65"/>
      <c r="BF426" s="65"/>
      <c r="BG426" s="65"/>
      <c r="BH426" s="65"/>
      <c r="BI426" s="65"/>
      <c r="BJ426" s="65"/>
      <c r="BK426" s="65">
        <v>0</v>
      </c>
      <c r="BL426" s="65">
        <v>0</v>
      </c>
      <c r="BM426" s="65">
        <v>0</v>
      </c>
      <c r="BN426" s="65">
        <f t="shared" ref="BN426:BN457" si="2257">IF(O426-BK426&gt;0,O426-BK426,0)</f>
        <v>0</v>
      </c>
      <c r="BO426" s="67">
        <f t="shared" ref="BO426:BO457" si="2258">IF(Q426-BM426&gt;0,Q426-BM426,0)</f>
        <v>0</v>
      </c>
      <c r="BP426" s="65">
        <f t="shared" ref="BP426:BP457" si="2259">IF(BN426+BO426&gt;0,BN426+BO426,0)</f>
        <v>0</v>
      </c>
      <c r="BQ426" s="65">
        <f t="shared" ref="BQ426:BQ457" si="2260">IF(U426=0,0,U426)</f>
        <v>0</v>
      </c>
      <c r="BR426" s="65">
        <f t="shared" ref="BR426:BR457" si="2261">IF(W426=0,0,W426)</f>
        <v>0</v>
      </c>
      <c r="BS426" s="65">
        <f t="shared" ref="BS426:BS457" si="2262">IF(BQ426+BR426&gt;0,BQ426+BR426,0)</f>
        <v>0</v>
      </c>
      <c r="BT426" s="65">
        <f t="shared" ref="BT426:BT457" si="2263">IF(V426&gt;0,V426,0)</f>
        <v>0</v>
      </c>
      <c r="BU426" s="65">
        <f t="shared" ref="BU426:BU457" si="2264">IF(BP426=0,0,BP426)</f>
        <v>0</v>
      </c>
      <c r="BV426" s="65">
        <f t="shared" ref="BV426:BV457" si="2265">IF(BS426=0,0,BS426)</f>
        <v>0</v>
      </c>
      <c r="BW426" s="65">
        <f t="shared" ref="BW426:BW457" si="2266">IF(BP426+BT426+BV426&gt;0,BP426+BT426+BV426,0)</f>
        <v>0</v>
      </c>
      <c r="BX426" s="6"/>
      <c r="BY426" s="6"/>
      <c r="BZ426" s="6"/>
      <c r="CA426" s="6"/>
      <c r="CB426" s="6"/>
      <c r="CC426" s="6"/>
      <c r="CD426" s="6"/>
      <c r="CE426" s="6"/>
      <c r="CF426" s="6"/>
      <c r="CG426" s="6"/>
    </row>
    <row r="427" spans="1:85" ht="15.75" customHeight="1">
      <c r="A427" s="68"/>
      <c r="B427" s="103"/>
      <c r="C427" s="68" t="s">
        <v>88</v>
      </c>
      <c r="D427" s="105" t="s">
        <v>89</v>
      </c>
      <c r="E427" s="99">
        <v>0</v>
      </c>
      <c r="F427" s="99">
        <v>0</v>
      </c>
      <c r="G427" s="58">
        <f t="shared" si="2244"/>
        <v>0</v>
      </c>
      <c r="H427" s="56">
        <v>238724.39</v>
      </c>
      <c r="I427" s="59">
        <f t="shared" si="2239"/>
        <v>0</v>
      </c>
      <c r="J427" s="59">
        <f t="shared" si="2240"/>
        <v>0</v>
      </c>
      <c r="K427" s="74">
        <v>0</v>
      </c>
      <c r="L427" s="74">
        <v>0</v>
      </c>
      <c r="M427" s="74">
        <v>0</v>
      </c>
      <c r="N427" s="74">
        <v>0</v>
      </c>
      <c r="O427" s="61">
        <f t="shared" ref="O427:Q427" si="2267">AA427+AD427+AG427+AJ427+AM427+AP427+AS427+AV427+AY427+BB427+BE427+BH427</f>
        <v>0</v>
      </c>
      <c r="P427" s="61">
        <f t="shared" si="2267"/>
        <v>0</v>
      </c>
      <c r="Q427" s="61">
        <f t="shared" si="2267"/>
        <v>0</v>
      </c>
      <c r="R427" s="61">
        <f t="shared" ref="R427:T427" si="2268">IF(BK427=0,SUM(AA427+AD427+AG427+AJ427+AM427+AP427+AS427+AV427+AY427+BB427+BE427+BH427),BK427)</f>
        <v>0</v>
      </c>
      <c r="S427" s="61">
        <f t="shared" si="2268"/>
        <v>0</v>
      </c>
      <c r="T427" s="61">
        <f t="shared" si="2268"/>
        <v>0</v>
      </c>
      <c r="U427" s="63">
        <f t="shared" si="2247"/>
        <v>0</v>
      </c>
      <c r="V427" s="63">
        <f t="shared" si="2248"/>
        <v>0</v>
      </c>
      <c r="W427" s="63">
        <f t="shared" si="2249"/>
        <v>0</v>
      </c>
      <c r="X427" s="64">
        <f t="shared" ref="X427:Y427" si="2269">IF(O427&gt;0,O427/K427,0)</f>
        <v>0</v>
      </c>
      <c r="Y427" s="64">
        <f t="shared" si="2269"/>
        <v>0</v>
      </c>
      <c r="Z427" s="64">
        <f t="shared" si="1658"/>
        <v>0</v>
      </c>
      <c r="AA427" s="65"/>
      <c r="AB427" s="65"/>
      <c r="AC427" s="65"/>
      <c r="AD427" s="65"/>
      <c r="AE427" s="66"/>
      <c r="AF427" s="66"/>
      <c r="AG427" s="66"/>
      <c r="AH427" s="66"/>
      <c r="AI427" s="65"/>
      <c r="AJ427" s="65"/>
      <c r="AK427" s="65"/>
      <c r="AL427" s="65"/>
      <c r="AM427" s="65"/>
      <c r="AN427" s="65"/>
      <c r="AO427" s="65"/>
      <c r="AP427" s="65"/>
      <c r="AQ427" s="65"/>
      <c r="AR427" s="65"/>
      <c r="AS427" s="65"/>
      <c r="AT427" s="65"/>
      <c r="AU427" s="65"/>
      <c r="AV427" s="65"/>
      <c r="AW427" s="65"/>
      <c r="AX427" s="65"/>
      <c r="AY427" s="65"/>
      <c r="AZ427" s="65"/>
      <c r="BA427" s="65"/>
      <c r="BB427" s="65"/>
      <c r="BC427" s="65"/>
      <c r="BD427" s="65"/>
      <c r="BE427" s="65"/>
      <c r="BF427" s="65"/>
      <c r="BG427" s="65"/>
      <c r="BH427" s="65"/>
      <c r="BI427" s="65"/>
      <c r="BJ427" s="65"/>
      <c r="BK427" s="65">
        <v>0</v>
      </c>
      <c r="BL427" s="65">
        <v>0</v>
      </c>
      <c r="BM427" s="65">
        <v>0</v>
      </c>
      <c r="BN427" s="65">
        <f t="shared" si="2257"/>
        <v>0</v>
      </c>
      <c r="BO427" s="67">
        <f t="shared" si="2258"/>
        <v>0</v>
      </c>
      <c r="BP427" s="65">
        <f t="shared" si="2259"/>
        <v>0</v>
      </c>
      <c r="BQ427" s="65">
        <f t="shared" si="2260"/>
        <v>0</v>
      </c>
      <c r="BR427" s="65">
        <f t="shared" si="2261"/>
        <v>0</v>
      </c>
      <c r="BS427" s="65">
        <f t="shared" si="2262"/>
        <v>0</v>
      </c>
      <c r="BT427" s="65">
        <f t="shared" si="2263"/>
        <v>0</v>
      </c>
      <c r="BU427" s="65">
        <f t="shared" si="2264"/>
        <v>0</v>
      </c>
      <c r="BV427" s="65">
        <f t="shared" si="2265"/>
        <v>0</v>
      </c>
      <c r="BW427" s="65">
        <f t="shared" si="2266"/>
        <v>0</v>
      </c>
      <c r="BX427" s="6"/>
      <c r="BY427" s="6"/>
      <c r="BZ427" s="6"/>
      <c r="CA427" s="6"/>
      <c r="CB427" s="6"/>
      <c r="CC427" s="6"/>
      <c r="CD427" s="6"/>
      <c r="CE427" s="6"/>
      <c r="CF427" s="6"/>
      <c r="CG427" s="6"/>
    </row>
    <row r="428" spans="1:85" ht="15.75" customHeight="1">
      <c r="A428" s="68"/>
      <c r="B428" s="68" t="s">
        <v>537</v>
      </c>
      <c r="C428" s="68" t="s">
        <v>88</v>
      </c>
      <c r="D428" s="70" t="s">
        <v>538</v>
      </c>
      <c r="E428" s="99">
        <v>0</v>
      </c>
      <c r="F428" s="99">
        <v>0</v>
      </c>
      <c r="G428" s="58">
        <f t="shared" si="2244"/>
        <v>0</v>
      </c>
      <c r="H428" s="99">
        <v>0</v>
      </c>
      <c r="I428" s="59">
        <f t="shared" si="2239"/>
        <v>0</v>
      </c>
      <c r="J428" s="59">
        <f t="shared" si="2240"/>
        <v>0</v>
      </c>
      <c r="K428" s="349">
        <v>0</v>
      </c>
      <c r="L428" s="100">
        <v>3315</v>
      </c>
      <c r="M428" s="100">
        <v>0</v>
      </c>
      <c r="N428" s="60">
        <v>0</v>
      </c>
      <c r="O428" s="61">
        <f t="shared" ref="O428:Q428" si="2270">AA428+AD428+AG428+AJ428+AM428+AP428+AS428+AV428+AY428+BB428+BE428+BH428</f>
        <v>0</v>
      </c>
      <c r="P428" s="61">
        <f t="shared" si="2270"/>
        <v>2845</v>
      </c>
      <c r="Q428" s="61">
        <f t="shared" si="2270"/>
        <v>0</v>
      </c>
      <c r="R428" s="61">
        <f t="shared" ref="R428:T428" si="2271">IF(BK428=0,SUM(AA428+AD428+AG428+AJ428+AM428+AP428+AS428+AV428+AY428+BB428+BE428+BH428),BK428)</f>
        <v>0</v>
      </c>
      <c r="S428" s="61">
        <f t="shared" si="2271"/>
        <v>2845</v>
      </c>
      <c r="T428" s="61">
        <f t="shared" si="2271"/>
        <v>0</v>
      </c>
      <c r="U428" s="63">
        <f t="shared" si="2247"/>
        <v>0</v>
      </c>
      <c r="V428" s="170">
        <f t="shared" si="2248"/>
        <v>470</v>
      </c>
      <c r="W428" s="63">
        <f t="shared" si="2249"/>
        <v>0</v>
      </c>
      <c r="X428" s="64">
        <f t="shared" ref="X428:Y428" si="2272">IF(O428&gt;0,O428/K428,0)</f>
        <v>0</v>
      </c>
      <c r="Y428" s="64">
        <f t="shared" si="2272"/>
        <v>0.85822021116138758</v>
      </c>
      <c r="Z428" s="64">
        <f t="shared" si="1658"/>
        <v>0</v>
      </c>
      <c r="AA428" s="65"/>
      <c r="AB428" s="65"/>
      <c r="AC428" s="65"/>
      <c r="AD428" s="65"/>
      <c r="AE428" s="66"/>
      <c r="AF428" s="66"/>
      <c r="AG428" s="66"/>
      <c r="AH428" s="66"/>
      <c r="AI428" s="65"/>
      <c r="AJ428" s="65"/>
      <c r="AK428" s="100">
        <v>1540</v>
      </c>
      <c r="AL428" s="65"/>
      <c r="AM428" s="65"/>
      <c r="AN428" s="65">
        <f>876+429</f>
        <v>1305</v>
      </c>
      <c r="AO428" s="65"/>
      <c r="AP428" s="65"/>
      <c r="AQ428" s="65"/>
      <c r="AR428" s="65"/>
      <c r="AS428" s="65"/>
      <c r="AT428" s="65"/>
      <c r="AU428" s="65"/>
      <c r="AV428" s="65"/>
      <c r="AW428" s="65"/>
      <c r="AX428" s="65"/>
      <c r="AY428" s="65"/>
      <c r="AZ428" s="65"/>
      <c r="BA428" s="65"/>
      <c r="BB428" s="65"/>
      <c r="BC428" s="65"/>
      <c r="BD428" s="65"/>
      <c r="BE428" s="65"/>
      <c r="BF428" s="65"/>
      <c r="BG428" s="65"/>
      <c r="BH428" s="65"/>
      <c r="BI428" s="65"/>
      <c r="BJ428" s="65"/>
      <c r="BK428" s="65">
        <v>0</v>
      </c>
      <c r="BL428" s="65">
        <v>0</v>
      </c>
      <c r="BM428" s="65">
        <v>0</v>
      </c>
      <c r="BN428" s="65">
        <f t="shared" si="2257"/>
        <v>0</v>
      </c>
      <c r="BO428" s="67">
        <f t="shared" si="2258"/>
        <v>0</v>
      </c>
      <c r="BP428" s="65">
        <f t="shared" si="2259"/>
        <v>0</v>
      </c>
      <c r="BQ428" s="65">
        <f t="shared" si="2260"/>
        <v>0</v>
      </c>
      <c r="BR428" s="65">
        <f t="shared" si="2261"/>
        <v>0</v>
      </c>
      <c r="BS428" s="65">
        <f t="shared" si="2262"/>
        <v>0</v>
      </c>
      <c r="BT428" s="65">
        <f t="shared" si="2263"/>
        <v>470</v>
      </c>
      <c r="BU428" s="65">
        <f t="shared" si="2264"/>
        <v>0</v>
      </c>
      <c r="BV428" s="65">
        <f t="shared" si="2265"/>
        <v>0</v>
      </c>
      <c r="BW428" s="65">
        <f t="shared" si="2266"/>
        <v>470</v>
      </c>
      <c r="BX428" s="6"/>
      <c r="BY428" s="6"/>
      <c r="BZ428" s="6"/>
      <c r="CA428" s="6"/>
      <c r="CB428" s="6"/>
      <c r="CC428" s="6"/>
      <c r="CD428" s="6"/>
      <c r="CE428" s="6"/>
      <c r="CF428" s="6"/>
      <c r="CG428" s="6"/>
    </row>
    <row r="429" spans="1:85" ht="15.75" customHeight="1">
      <c r="A429" s="52" t="s">
        <v>539</v>
      </c>
      <c r="B429" s="103"/>
      <c r="C429" s="68" t="s">
        <v>88</v>
      </c>
      <c r="D429" s="105" t="s">
        <v>540</v>
      </c>
      <c r="E429" s="99">
        <v>0</v>
      </c>
      <c r="F429" s="99">
        <v>0</v>
      </c>
      <c r="G429" s="58">
        <f t="shared" si="2244"/>
        <v>0</v>
      </c>
      <c r="H429" s="99">
        <v>0</v>
      </c>
      <c r="I429" s="59">
        <f t="shared" si="2239"/>
        <v>0</v>
      </c>
      <c r="J429" s="59">
        <f t="shared" si="2240"/>
        <v>0</v>
      </c>
      <c r="K429" s="74">
        <v>0</v>
      </c>
      <c r="L429" s="74">
        <v>0</v>
      </c>
      <c r="M429" s="74">
        <v>0</v>
      </c>
      <c r="N429" s="74">
        <v>76860.600000000006</v>
      </c>
      <c r="O429" s="61">
        <f t="shared" ref="O429:Q429" si="2273">AA429+AD429+AG429+AJ429+AM429+AP429+AS429+AV429+AY429+BB429+BE429+BH429</f>
        <v>0</v>
      </c>
      <c r="P429" s="61">
        <f t="shared" si="2273"/>
        <v>0</v>
      </c>
      <c r="Q429" s="170">
        <f t="shared" si="2273"/>
        <v>49420.56</v>
      </c>
      <c r="R429" s="61">
        <f t="shared" ref="R429:T429" si="2274">IF(BK429=0,SUM(AA429+AD429+AG429+AJ429+AM429+AP429+AS429+AV429+AY429+BB429+BE429+BH429),BK429)</f>
        <v>0</v>
      </c>
      <c r="S429" s="61">
        <f t="shared" si="2274"/>
        <v>0</v>
      </c>
      <c r="T429" s="61">
        <f t="shared" si="2274"/>
        <v>49420.56</v>
      </c>
      <c r="U429" s="63">
        <f t="shared" si="2247"/>
        <v>0</v>
      </c>
      <c r="V429" s="63">
        <f t="shared" si="2248"/>
        <v>0</v>
      </c>
      <c r="W429" s="62">
        <f t="shared" si="2249"/>
        <v>27440.040000000008</v>
      </c>
      <c r="X429" s="64">
        <f t="shared" ref="X429:Y429" si="2275">IF(O429&gt;0,O429/K429,0)</f>
        <v>0</v>
      </c>
      <c r="Y429" s="64">
        <f t="shared" si="2275"/>
        <v>0</v>
      </c>
      <c r="Z429" s="64">
        <f t="shared" si="1658"/>
        <v>0.64298951608496413</v>
      </c>
      <c r="AA429" s="65"/>
      <c r="AB429" s="65"/>
      <c r="AC429" s="65"/>
      <c r="AD429" s="65"/>
      <c r="AE429" s="66"/>
      <c r="AF429" s="66"/>
      <c r="AG429" s="66"/>
      <c r="AH429" s="66"/>
      <c r="AI429" s="65"/>
      <c r="AJ429" s="65"/>
      <c r="AK429" s="65"/>
      <c r="AL429" s="100">
        <v>1741.26</v>
      </c>
      <c r="AM429" s="65"/>
      <c r="AN429" s="65"/>
      <c r="AO429" s="65">
        <f>23390.1</f>
        <v>23390.1</v>
      </c>
      <c r="AP429" s="65"/>
      <c r="AQ429" s="65"/>
      <c r="AR429" s="100">
        <v>24289.200000000001</v>
      </c>
      <c r="AS429" s="65"/>
      <c r="AT429" s="65"/>
      <c r="AU429" s="65"/>
      <c r="AV429" s="65"/>
      <c r="AW429" s="65"/>
      <c r="AX429" s="65"/>
      <c r="AY429" s="65"/>
      <c r="AZ429" s="65"/>
      <c r="BA429" s="65"/>
      <c r="BB429" s="65"/>
      <c r="BC429" s="65"/>
      <c r="BD429" s="65"/>
      <c r="BE429" s="65"/>
      <c r="BF429" s="65"/>
      <c r="BG429" s="65"/>
      <c r="BH429" s="65"/>
      <c r="BI429" s="65"/>
      <c r="BJ429" s="65"/>
      <c r="BK429" s="65">
        <v>0</v>
      </c>
      <c r="BL429" s="65">
        <v>0</v>
      </c>
      <c r="BM429" s="65">
        <v>0</v>
      </c>
      <c r="BN429" s="65">
        <f t="shared" si="2257"/>
        <v>0</v>
      </c>
      <c r="BO429" s="67">
        <f t="shared" si="2258"/>
        <v>49420.56</v>
      </c>
      <c r="BP429" s="65">
        <f t="shared" si="2259"/>
        <v>49420.56</v>
      </c>
      <c r="BQ429" s="65">
        <f t="shared" si="2260"/>
        <v>0</v>
      </c>
      <c r="BR429" s="65">
        <f t="shared" si="2261"/>
        <v>27440.040000000008</v>
      </c>
      <c r="BS429" s="65">
        <f t="shared" si="2262"/>
        <v>27440.040000000008</v>
      </c>
      <c r="BT429" s="65">
        <f t="shared" si="2263"/>
        <v>0</v>
      </c>
      <c r="BU429" s="65">
        <f t="shared" si="2264"/>
        <v>49420.56</v>
      </c>
      <c r="BV429" s="65">
        <f t="shared" si="2265"/>
        <v>27440.040000000008</v>
      </c>
      <c r="BW429" s="65">
        <f t="shared" si="2266"/>
        <v>76860.600000000006</v>
      </c>
      <c r="BX429" s="6"/>
      <c r="BY429" s="6"/>
      <c r="BZ429" s="6"/>
      <c r="CA429" s="6"/>
      <c r="CB429" s="6"/>
      <c r="CC429" s="6"/>
      <c r="CD429" s="6"/>
      <c r="CE429" s="6"/>
      <c r="CF429" s="6"/>
      <c r="CG429" s="6"/>
    </row>
    <row r="430" spans="1:85" ht="15.75" customHeight="1">
      <c r="A430" s="121"/>
      <c r="B430" s="169"/>
      <c r="C430" s="68" t="s">
        <v>88</v>
      </c>
      <c r="D430" s="70" t="s">
        <v>541</v>
      </c>
      <c r="E430" s="99">
        <v>0</v>
      </c>
      <c r="F430" s="99">
        <v>0</v>
      </c>
      <c r="G430" s="58">
        <f t="shared" si="2244"/>
        <v>0</v>
      </c>
      <c r="H430" s="99">
        <v>0</v>
      </c>
      <c r="I430" s="59">
        <f t="shared" si="2239"/>
        <v>0</v>
      </c>
      <c r="J430" s="59">
        <f t="shared" si="2240"/>
        <v>0</v>
      </c>
      <c r="K430" s="74">
        <v>0</v>
      </c>
      <c r="L430" s="74">
        <v>0</v>
      </c>
      <c r="M430" s="74">
        <v>0</v>
      </c>
      <c r="N430" s="74">
        <v>0</v>
      </c>
      <c r="O430" s="61">
        <f t="shared" ref="O430:Q430" si="2276">AA430+AD430+AG430+AJ430+AM430+AP430+AS430+AV430+AY430+BB430+BE430+BH430</f>
        <v>0</v>
      </c>
      <c r="P430" s="61">
        <f t="shared" si="2276"/>
        <v>0</v>
      </c>
      <c r="Q430" s="61">
        <f t="shared" si="2276"/>
        <v>0</v>
      </c>
      <c r="R430" s="61">
        <f t="shared" ref="R430:T430" si="2277">IF(BK430=0,SUM(AA430+AD430+AG430+AJ430+AM430+AP430+AS430+AV430+AY430+BB430+BE430+BH430),BK430)</f>
        <v>0</v>
      </c>
      <c r="S430" s="61">
        <f t="shared" si="2277"/>
        <v>0</v>
      </c>
      <c r="T430" s="61">
        <f t="shared" si="2277"/>
        <v>0</v>
      </c>
      <c r="U430" s="63">
        <f t="shared" si="2247"/>
        <v>0</v>
      </c>
      <c r="V430" s="63">
        <f t="shared" si="2248"/>
        <v>0</v>
      </c>
      <c r="W430" s="63">
        <f t="shared" si="2249"/>
        <v>0</v>
      </c>
      <c r="X430" s="64">
        <f t="shared" ref="X430:Y430" si="2278">IF(O430&gt;0,O430/K430,0)</f>
        <v>0</v>
      </c>
      <c r="Y430" s="64">
        <f t="shared" si="2278"/>
        <v>0</v>
      </c>
      <c r="Z430" s="64">
        <f t="shared" si="1658"/>
        <v>0</v>
      </c>
      <c r="AA430" s="65"/>
      <c r="AB430" s="65"/>
      <c r="AC430" s="65"/>
      <c r="AD430" s="65"/>
      <c r="AE430" s="66"/>
      <c r="AF430" s="66"/>
      <c r="AG430" s="66"/>
      <c r="AH430" s="66"/>
      <c r="AI430" s="65"/>
      <c r="AJ430" s="65"/>
      <c r="AK430" s="65"/>
      <c r="AL430" s="65"/>
      <c r="AM430" s="65"/>
      <c r="AN430" s="65"/>
      <c r="AO430" s="65"/>
      <c r="AP430" s="65"/>
      <c r="AQ430" s="65"/>
      <c r="AR430" s="65"/>
      <c r="AS430" s="65"/>
      <c r="AT430" s="65"/>
      <c r="AU430" s="65"/>
      <c r="AV430" s="65"/>
      <c r="AW430" s="65"/>
      <c r="AX430" s="65"/>
      <c r="AY430" s="65"/>
      <c r="AZ430" s="65"/>
      <c r="BA430" s="65"/>
      <c r="BB430" s="65"/>
      <c r="BC430" s="65"/>
      <c r="BD430" s="65"/>
      <c r="BE430" s="65"/>
      <c r="BF430" s="65"/>
      <c r="BG430" s="65"/>
      <c r="BH430" s="65"/>
      <c r="BI430" s="65"/>
      <c r="BJ430" s="65"/>
      <c r="BK430" s="65">
        <v>0</v>
      </c>
      <c r="BL430" s="65">
        <v>0</v>
      </c>
      <c r="BM430" s="65">
        <v>0</v>
      </c>
      <c r="BN430" s="65">
        <f t="shared" si="2257"/>
        <v>0</v>
      </c>
      <c r="BO430" s="67">
        <f t="shared" si="2258"/>
        <v>0</v>
      </c>
      <c r="BP430" s="65">
        <f t="shared" si="2259"/>
        <v>0</v>
      </c>
      <c r="BQ430" s="65">
        <f t="shared" si="2260"/>
        <v>0</v>
      </c>
      <c r="BR430" s="65">
        <f t="shared" si="2261"/>
        <v>0</v>
      </c>
      <c r="BS430" s="65">
        <f t="shared" si="2262"/>
        <v>0</v>
      </c>
      <c r="BT430" s="65">
        <f t="shared" si="2263"/>
        <v>0</v>
      </c>
      <c r="BU430" s="65">
        <f t="shared" si="2264"/>
        <v>0</v>
      </c>
      <c r="BV430" s="65">
        <f t="shared" si="2265"/>
        <v>0</v>
      </c>
      <c r="BW430" s="65">
        <f t="shared" si="2266"/>
        <v>0</v>
      </c>
      <c r="BX430" s="6"/>
      <c r="BY430" s="6"/>
      <c r="BZ430" s="6"/>
      <c r="CA430" s="6"/>
      <c r="CB430" s="6"/>
      <c r="CC430" s="6"/>
      <c r="CD430" s="6"/>
      <c r="CE430" s="6"/>
      <c r="CF430" s="6"/>
      <c r="CG430" s="6"/>
    </row>
    <row r="431" spans="1:85" ht="15.75" customHeight="1">
      <c r="A431" s="121"/>
      <c r="B431" s="169"/>
      <c r="C431" s="68" t="s">
        <v>88</v>
      </c>
      <c r="D431" s="70" t="s">
        <v>541</v>
      </c>
      <c r="E431" s="99">
        <v>0</v>
      </c>
      <c r="F431" s="99">
        <v>0</v>
      </c>
      <c r="G431" s="58">
        <f t="shared" si="2244"/>
        <v>0</v>
      </c>
      <c r="H431" s="99">
        <v>0</v>
      </c>
      <c r="I431" s="59">
        <f t="shared" si="2239"/>
        <v>0</v>
      </c>
      <c r="J431" s="59">
        <f t="shared" si="2240"/>
        <v>0</v>
      </c>
      <c r="K431" s="74">
        <v>0</v>
      </c>
      <c r="L431" s="74">
        <v>0</v>
      </c>
      <c r="M431" s="74">
        <v>0</v>
      </c>
      <c r="N431" s="74">
        <v>0</v>
      </c>
      <c r="O431" s="61">
        <f t="shared" ref="O431:Q431" si="2279">AA431+AD431+AG431+AJ431+AM431+AP431+AS431+AV431+AY431+BB431+BE431+BH431</f>
        <v>0</v>
      </c>
      <c r="P431" s="61">
        <f t="shared" si="2279"/>
        <v>0</v>
      </c>
      <c r="Q431" s="61">
        <f t="shared" si="2279"/>
        <v>0</v>
      </c>
      <c r="R431" s="61">
        <f t="shared" ref="R431:T431" si="2280">IF(BK431=0,SUM(AA431+AD431+AG431+AJ431+AM431+AP431+AS431+AV431+AY431+BB431+BE431+BH431),BK431)</f>
        <v>0</v>
      </c>
      <c r="S431" s="61">
        <f t="shared" si="2280"/>
        <v>0</v>
      </c>
      <c r="T431" s="61">
        <f t="shared" si="2280"/>
        <v>0</v>
      </c>
      <c r="U431" s="63">
        <f t="shared" si="2247"/>
        <v>0</v>
      </c>
      <c r="V431" s="63">
        <f t="shared" si="2248"/>
        <v>0</v>
      </c>
      <c r="W431" s="63">
        <f t="shared" si="2249"/>
        <v>0</v>
      </c>
      <c r="X431" s="64">
        <f t="shared" ref="X431:Y431" si="2281">IF(O431&gt;0,O431/K431,0)</f>
        <v>0</v>
      </c>
      <c r="Y431" s="64">
        <f t="shared" si="2281"/>
        <v>0</v>
      </c>
      <c r="Z431" s="64">
        <f t="shared" si="1658"/>
        <v>0</v>
      </c>
      <c r="AA431" s="65"/>
      <c r="AB431" s="65"/>
      <c r="AC431" s="65"/>
      <c r="AD431" s="65"/>
      <c r="AE431" s="66"/>
      <c r="AF431" s="66"/>
      <c r="AG431" s="66"/>
      <c r="AH431" s="66"/>
      <c r="AI431" s="65"/>
      <c r="AJ431" s="65"/>
      <c r="AK431" s="65"/>
      <c r="AL431" s="65"/>
      <c r="AM431" s="65"/>
      <c r="AN431" s="65"/>
      <c r="AO431" s="65"/>
      <c r="AP431" s="65"/>
      <c r="AQ431" s="65"/>
      <c r="AR431" s="65"/>
      <c r="AS431" s="65"/>
      <c r="AT431" s="65"/>
      <c r="AU431" s="65"/>
      <c r="AV431" s="65"/>
      <c r="AW431" s="65"/>
      <c r="AX431" s="65"/>
      <c r="AY431" s="65"/>
      <c r="AZ431" s="65"/>
      <c r="BA431" s="65"/>
      <c r="BB431" s="65"/>
      <c r="BC431" s="65"/>
      <c r="BD431" s="65"/>
      <c r="BE431" s="65"/>
      <c r="BF431" s="65"/>
      <c r="BG431" s="65"/>
      <c r="BH431" s="65"/>
      <c r="BI431" s="65"/>
      <c r="BJ431" s="65"/>
      <c r="BK431" s="65">
        <v>0</v>
      </c>
      <c r="BL431" s="65">
        <v>0</v>
      </c>
      <c r="BM431" s="65">
        <v>0</v>
      </c>
      <c r="BN431" s="65">
        <f t="shared" si="2257"/>
        <v>0</v>
      </c>
      <c r="BO431" s="67">
        <f t="shared" si="2258"/>
        <v>0</v>
      </c>
      <c r="BP431" s="65">
        <f t="shared" si="2259"/>
        <v>0</v>
      </c>
      <c r="BQ431" s="65">
        <f t="shared" si="2260"/>
        <v>0</v>
      </c>
      <c r="BR431" s="65">
        <f t="shared" si="2261"/>
        <v>0</v>
      </c>
      <c r="BS431" s="65">
        <f t="shared" si="2262"/>
        <v>0</v>
      </c>
      <c r="BT431" s="65">
        <f t="shared" si="2263"/>
        <v>0</v>
      </c>
      <c r="BU431" s="65">
        <f t="shared" si="2264"/>
        <v>0</v>
      </c>
      <c r="BV431" s="65">
        <f t="shared" si="2265"/>
        <v>0</v>
      </c>
      <c r="BW431" s="65">
        <f t="shared" si="2266"/>
        <v>0</v>
      </c>
      <c r="BX431" s="6"/>
      <c r="BY431" s="6"/>
      <c r="BZ431" s="6"/>
      <c r="CA431" s="6"/>
      <c r="CB431" s="6"/>
      <c r="CC431" s="6"/>
      <c r="CD431" s="6"/>
      <c r="CE431" s="6"/>
      <c r="CF431" s="6"/>
      <c r="CG431" s="6"/>
    </row>
    <row r="432" spans="1:85" ht="15.75" customHeight="1">
      <c r="A432" s="121"/>
      <c r="B432" s="169"/>
      <c r="C432" s="68" t="s">
        <v>88</v>
      </c>
      <c r="D432" s="70" t="s">
        <v>541</v>
      </c>
      <c r="E432" s="99">
        <v>0</v>
      </c>
      <c r="F432" s="99">
        <v>0</v>
      </c>
      <c r="G432" s="58">
        <f t="shared" si="2244"/>
        <v>0</v>
      </c>
      <c r="H432" s="99">
        <v>0</v>
      </c>
      <c r="I432" s="59">
        <f t="shared" si="2239"/>
        <v>0</v>
      </c>
      <c r="J432" s="59">
        <f t="shared" si="2240"/>
        <v>0</v>
      </c>
      <c r="K432" s="74">
        <v>0</v>
      </c>
      <c r="L432" s="74">
        <v>0</v>
      </c>
      <c r="M432" s="74">
        <v>0</v>
      </c>
      <c r="N432" s="74">
        <v>0</v>
      </c>
      <c r="O432" s="61">
        <f t="shared" ref="O432:Q432" si="2282">AA432+AD432+AG432+AJ432+AM432+AP432+AS432+AV432+AY432+BB432+BE432+BH432</f>
        <v>0</v>
      </c>
      <c r="P432" s="61">
        <f t="shared" si="2282"/>
        <v>0</v>
      </c>
      <c r="Q432" s="61">
        <f t="shared" si="2282"/>
        <v>0</v>
      </c>
      <c r="R432" s="61">
        <f t="shared" ref="R432:T432" si="2283">IF(BK432=0,SUM(AA432+AD432+AG432+AJ432+AM432+AP432+AS432+AV432+AY432+BB432+BE432+BH432),BK432)</f>
        <v>0</v>
      </c>
      <c r="S432" s="61">
        <f t="shared" si="2283"/>
        <v>0</v>
      </c>
      <c r="T432" s="61">
        <f t="shared" si="2283"/>
        <v>0</v>
      </c>
      <c r="U432" s="63">
        <f t="shared" si="2247"/>
        <v>0</v>
      </c>
      <c r="V432" s="63">
        <f t="shared" si="2248"/>
        <v>0</v>
      </c>
      <c r="W432" s="63">
        <f t="shared" si="2249"/>
        <v>0</v>
      </c>
      <c r="X432" s="64">
        <f t="shared" ref="X432:Y432" si="2284">IF(O432&gt;0,O432/K432,0)</f>
        <v>0</v>
      </c>
      <c r="Y432" s="64">
        <f t="shared" si="2284"/>
        <v>0</v>
      </c>
      <c r="Z432" s="64">
        <f t="shared" si="1658"/>
        <v>0</v>
      </c>
      <c r="AA432" s="65"/>
      <c r="AB432" s="65"/>
      <c r="AC432" s="65"/>
      <c r="AD432" s="65"/>
      <c r="AE432" s="66"/>
      <c r="AF432" s="66"/>
      <c r="AG432" s="66"/>
      <c r="AH432" s="66"/>
      <c r="AI432" s="65"/>
      <c r="AJ432" s="65"/>
      <c r="AK432" s="65"/>
      <c r="AL432" s="65"/>
      <c r="AM432" s="65"/>
      <c r="AN432" s="65"/>
      <c r="AO432" s="65"/>
      <c r="AP432" s="65"/>
      <c r="AQ432" s="65"/>
      <c r="AR432" s="65"/>
      <c r="AS432" s="65"/>
      <c r="AT432" s="65"/>
      <c r="AU432" s="65"/>
      <c r="AV432" s="65"/>
      <c r="AW432" s="65"/>
      <c r="AX432" s="65"/>
      <c r="AY432" s="65"/>
      <c r="AZ432" s="65"/>
      <c r="BA432" s="65"/>
      <c r="BB432" s="65"/>
      <c r="BC432" s="65"/>
      <c r="BD432" s="65"/>
      <c r="BE432" s="65"/>
      <c r="BF432" s="65"/>
      <c r="BG432" s="65"/>
      <c r="BH432" s="65"/>
      <c r="BI432" s="65"/>
      <c r="BJ432" s="65"/>
      <c r="BK432" s="65">
        <v>0</v>
      </c>
      <c r="BL432" s="65">
        <v>0</v>
      </c>
      <c r="BM432" s="65">
        <v>0</v>
      </c>
      <c r="BN432" s="65">
        <f t="shared" si="2257"/>
        <v>0</v>
      </c>
      <c r="BO432" s="67">
        <f t="shared" si="2258"/>
        <v>0</v>
      </c>
      <c r="BP432" s="65">
        <f t="shared" si="2259"/>
        <v>0</v>
      </c>
      <c r="BQ432" s="65">
        <f t="shared" si="2260"/>
        <v>0</v>
      </c>
      <c r="BR432" s="65">
        <f t="shared" si="2261"/>
        <v>0</v>
      </c>
      <c r="BS432" s="65">
        <f t="shared" si="2262"/>
        <v>0</v>
      </c>
      <c r="BT432" s="65">
        <f t="shared" si="2263"/>
        <v>0</v>
      </c>
      <c r="BU432" s="65">
        <f t="shared" si="2264"/>
        <v>0</v>
      </c>
      <c r="BV432" s="65">
        <f t="shared" si="2265"/>
        <v>0</v>
      </c>
      <c r="BW432" s="65">
        <f t="shared" si="2266"/>
        <v>0</v>
      </c>
      <c r="BX432" s="6"/>
      <c r="BY432" s="6"/>
      <c r="BZ432" s="6"/>
      <c r="CA432" s="6"/>
      <c r="CB432" s="6"/>
      <c r="CC432" s="6"/>
      <c r="CD432" s="6"/>
      <c r="CE432" s="6"/>
      <c r="CF432" s="6"/>
      <c r="CG432" s="6"/>
    </row>
    <row r="433" spans="1:85" ht="15.75" customHeight="1">
      <c r="A433" s="121"/>
      <c r="B433" s="169" t="s">
        <v>542</v>
      </c>
      <c r="C433" s="68" t="s">
        <v>88</v>
      </c>
      <c r="D433" s="70" t="s">
        <v>541</v>
      </c>
      <c r="E433" s="99">
        <v>0</v>
      </c>
      <c r="F433" s="99">
        <v>0</v>
      </c>
      <c r="G433" s="58">
        <f t="shared" si="2244"/>
        <v>0</v>
      </c>
      <c r="H433" s="99">
        <v>0</v>
      </c>
      <c r="I433" s="59">
        <f t="shared" si="2239"/>
        <v>0</v>
      </c>
      <c r="J433" s="59">
        <f t="shared" si="2240"/>
        <v>0</v>
      </c>
      <c r="K433" s="60">
        <v>0</v>
      </c>
      <c r="L433" s="100">
        <v>7809.35</v>
      </c>
      <c r="M433" s="100">
        <v>0</v>
      </c>
      <c r="N433" s="60">
        <v>0</v>
      </c>
      <c r="O433" s="61">
        <f t="shared" ref="O433:Q433" si="2285">AA433+AD433+AG433+AJ433+AM433+AP433+AS433+AV433+AY433+BB433+BE433+BH433</f>
        <v>0</v>
      </c>
      <c r="P433" s="61">
        <f t="shared" si="2285"/>
        <v>7809.35</v>
      </c>
      <c r="Q433" s="61">
        <f t="shared" si="2285"/>
        <v>0</v>
      </c>
      <c r="R433" s="61">
        <f t="shared" ref="R433:T433" si="2286">IF(BK433=0,SUM(AA433+AD433+AG433+AJ433+AM433+AP433+AS433+AV433+AY433+BB433+BE433+BH433),BK433)</f>
        <v>0</v>
      </c>
      <c r="S433" s="61">
        <f t="shared" si="2286"/>
        <v>7809.35</v>
      </c>
      <c r="T433" s="61">
        <f t="shared" si="2286"/>
        <v>0</v>
      </c>
      <c r="U433" s="63">
        <f t="shared" si="2247"/>
        <v>0</v>
      </c>
      <c r="V433" s="63">
        <f t="shared" si="2248"/>
        <v>0</v>
      </c>
      <c r="W433" s="63">
        <f t="shared" si="2249"/>
        <v>0</v>
      </c>
      <c r="X433" s="64">
        <f t="shared" ref="X433:Y433" si="2287">IF(O433&gt;0,O433/K433,0)</f>
        <v>0</v>
      </c>
      <c r="Y433" s="64">
        <f t="shared" si="2287"/>
        <v>1</v>
      </c>
      <c r="Z433" s="64">
        <f t="shared" si="1658"/>
        <v>0</v>
      </c>
      <c r="AA433" s="65"/>
      <c r="AB433" s="65"/>
      <c r="AC433" s="65"/>
      <c r="AD433" s="65"/>
      <c r="AE433" s="66"/>
      <c r="AF433" s="66"/>
      <c r="AG433" s="66"/>
      <c r="AH433" s="66"/>
      <c r="AI433" s="65"/>
      <c r="AJ433" s="65"/>
      <c r="AK433" s="65"/>
      <c r="AL433" s="65"/>
      <c r="AM433" s="65"/>
      <c r="AN433" s="65"/>
      <c r="AO433" s="65"/>
      <c r="AP433" s="65"/>
      <c r="AQ433" s="65">
        <f>7809.35</f>
        <v>7809.35</v>
      </c>
      <c r="AR433" s="65"/>
      <c r="AS433" s="65"/>
      <c r="AT433" s="65"/>
      <c r="AU433" s="65"/>
      <c r="AV433" s="65"/>
      <c r="AW433" s="65"/>
      <c r="AX433" s="65"/>
      <c r="AY433" s="65"/>
      <c r="AZ433" s="65"/>
      <c r="BA433" s="65"/>
      <c r="BB433" s="65"/>
      <c r="BC433" s="65"/>
      <c r="BD433" s="65"/>
      <c r="BE433" s="65"/>
      <c r="BF433" s="65"/>
      <c r="BG433" s="65"/>
      <c r="BH433" s="65"/>
      <c r="BI433" s="65"/>
      <c r="BJ433" s="65"/>
      <c r="BK433" s="65">
        <v>0</v>
      </c>
      <c r="BL433" s="65">
        <v>0</v>
      </c>
      <c r="BM433" s="65">
        <v>0</v>
      </c>
      <c r="BN433" s="65">
        <f t="shared" si="2257"/>
        <v>0</v>
      </c>
      <c r="BO433" s="67">
        <f t="shared" si="2258"/>
        <v>0</v>
      </c>
      <c r="BP433" s="65">
        <f t="shared" si="2259"/>
        <v>0</v>
      </c>
      <c r="BQ433" s="65">
        <f t="shared" si="2260"/>
        <v>0</v>
      </c>
      <c r="BR433" s="65">
        <f t="shared" si="2261"/>
        <v>0</v>
      </c>
      <c r="BS433" s="65">
        <f t="shared" si="2262"/>
        <v>0</v>
      </c>
      <c r="BT433" s="65">
        <f t="shared" si="2263"/>
        <v>0</v>
      </c>
      <c r="BU433" s="65">
        <f t="shared" si="2264"/>
        <v>0</v>
      </c>
      <c r="BV433" s="65">
        <f t="shared" si="2265"/>
        <v>0</v>
      </c>
      <c r="BW433" s="65">
        <f t="shared" si="2266"/>
        <v>0</v>
      </c>
      <c r="BX433" s="6"/>
      <c r="BY433" s="6"/>
      <c r="BZ433" s="6"/>
      <c r="CA433" s="6"/>
      <c r="CB433" s="6"/>
      <c r="CC433" s="6"/>
      <c r="CD433" s="6"/>
      <c r="CE433" s="6"/>
      <c r="CF433" s="6"/>
      <c r="CG433" s="6"/>
    </row>
    <row r="434" spans="1:85" ht="15.75" customHeight="1">
      <c r="A434" s="54"/>
      <c r="B434" s="53"/>
      <c r="C434" s="68" t="s">
        <v>88</v>
      </c>
      <c r="D434" s="70" t="s">
        <v>541</v>
      </c>
      <c r="E434" s="99">
        <v>0</v>
      </c>
      <c r="F434" s="99">
        <v>0</v>
      </c>
      <c r="G434" s="58">
        <f t="shared" si="2244"/>
        <v>0</v>
      </c>
      <c r="H434" s="99">
        <v>0</v>
      </c>
      <c r="I434" s="59">
        <f t="shared" si="2239"/>
        <v>0</v>
      </c>
      <c r="J434" s="59">
        <f t="shared" si="2240"/>
        <v>0</v>
      </c>
      <c r="K434" s="74">
        <v>0</v>
      </c>
      <c r="L434" s="74">
        <v>0</v>
      </c>
      <c r="M434" s="74">
        <v>0</v>
      </c>
      <c r="N434" s="74">
        <v>0</v>
      </c>
      <c r="O434" s="61">
        <f t="shared" ref="O434:Q434" si="2288">AA434+AD434+AG434+AJ434+AM434+AP434+AS434+AV434+AY434+BB434+BE434+BH434</f>
        <v>0</v>
      </c>
      <c r="P434" s="61">
        <f t="shared" si="2288"/>
        <v>0</v>
      </c>
      <c r="Q434" s="61">
        <f t="shared" si="2288"/>
        <v>0</v>
      </c>
      <c r="R434" s="61">
        <f t="shared" ref="R434:T434" si="2289">IF(BK434=0,SUM(AA434+AD434+AG434+AJ434+AM434+AP434+AS434+AV434+AY434+BB434+BE434+BH434),BK434)</f>
        <v>0</v>
      </c>
      <c r="S434" s="61">
        <f t="shared" si="2289"/>
        <v>0</v>
      </c>
      <c r="T434" s="61">
        <f t="shared" si="2289"/>
        <v>0</v>
      </c>
      <c r="U434" s="63">
        <f t="shared" si="2247"/>
        <v>0</v>
      </c>
      <c r="V434" s="63">
        <f t="shared" si="2248"/>
        <v>0</v>
      </c>
      <c r="W434" s="63">
        <f t="shared" si="2249"/>
        <v>0</v>
      </c>
      <c r="X434" s="64">
        <f t="shared" ref="X434:Y434" si="2290">IF(O434&gt;0,O434/K434,0)</f>
        <v>0</v>
      </c>
      <c r="Y434" s="64">
        <f t="shared" si="2290"/>
        <v>0</v>
      </c>
      <c r="Z434" s="64">
        <f t="shared" si="1658"/>
        <v>0</v>
      </c>
      <c r="AA434" s="65"/>
      <c r="AB434" s="65"/>
      <c r="AC434" s="65"/>
      <c r="AD434" s="65"/>
      <c r="AE434" s="66"/>
      <c r="AF434" s="66"/>
      <c r="AG434" s="66"/>
      <c r="AH434" s="66"/>
      <c r="AI434" s="65"/>
      <c r="AJ434" s="65"/>
      <c r="AK434" s="65"/>
      <c r="AL434" s="65"/>
      <c r="AM434" s="65"/>
      <c r="AN434" s="65"/>
      <c r="AO434" s="65"/>
      <c r="AP434" s="65"/>
      <c r="AQ434" s="65"/>
      <c r="AR434" s="65"/>
      <c r="AS434" s="65"/>
      <c r="AT434" s="65"/>
      <c r="AU434" s="65"/>
      <c r="AV434" s="65"/>
      <c r="AW434" s="65"/>
      <c r="AX434" s="65"/>
      <c r="AY434" s="65"/>
      <c r="AZ434" s="65"/>
      <c r="BA434" s="65"/>
      <c r="BB434" s="65"/>
      <c r="BC434" s="65"/>
      <c r="BD434" s="65"/>
      <c r="BE434" s="65"/>
      <c r="BF434" s="65"/>
      <c r="BG434" s="65"/>
      <c r="BH434" s="65"/>
      <c r="BI434" s="65"/>
      <c r="BJ434" s="65"/>
      <c r="BK434" s="65">
        <v>0</v>
      </c>
      <c r="BL434" s="65">
        <v>0</v>
      </c>
      <c r="BM434" s="65">
        <v>0</v>
      </c>
      <c r="BN434" s="65">
        <f t="shared" si="2257"/>
        <v>0</v>
      </c>
      <c r="BO434" s="67">
        <f t="shared" si="2258"/>
        <v>0</v>
      </c>
      <c r="BP434" s="65">
        <f t="shared" si="2259"/>
        <v>0</v>
      </c>
      <c r="BQ434" s="65">
        <f t="shared" si="2260"/>
        <v>0</v>
      </c>
      <c r="BR434" s="65">
        <f t="shared" si="2261"/>
        <v>0</v>
      </c>
      <c r="BS434" s="65">
        <f t="shared" si="2262"/>
        <v>0</v>
      </c>
      <c r="BT434" s="65">
        <f t="shared" si="2263"/>
        <v>0</v>
      </c>
      <c r="BU434" s="65">
        <f t="shared" si="2264"/>
        <v>0</v>
      </c>
      <c r="BV434" s="65">
        <f t="shared" si="2265"/>
        <v>0</v>
      </c>
      <c r="BW434" s="65">
        <f t="shared" si="2266"/>
        <v>0</v>
      </c>
      <c r="BX434" s="6"/>
      <c r="BY434" s="6"/>
      <c r="BZ434" s="6"/>
      <c r="CA434" s="6"/>
      <c r="CB434" s="6"/>
      <c r="CC434" s="6"/>
      <c r="CD434" s="6"/>
      <c r="CE434" s="6"/>
      <c r="CF434" s="6"/>
      <c r="CG434" s="6"/>
    </row>
    <row r="435" spans="1:85" ht="15.75" customHeight="1">
      <c r="A435" s="54"/>
      <c r="B435" s="54" t="s">
        <v>543</v>
      </c>
      <c r="C435" s="68" t="s">
        <v>88</v>
      </c>
      <c r="D435" s="70" t="s">
        <v>544</v>
      </c>
      <c r="E435" s="99">
        <v>0</v>
      </c>
      <c r="F435" s="99">
        <v>0</v>
      </c>
      <c r="G435" s="58">
        <f t="shared" si="2244"/>
        <v>0</v>
      </c>
      <c r="H435" s="99">
        <v>0</v>
      </c>
      <c r="I435" s="59">
        <f t="shared" si="2239"/>
        <v>0</v>
      </c>
      <c r="J435" s="59">
        <f t="shared" si="2240"/>
        <v>0</v>
      </c>
      <c r="K435" s="60">
        <v>0</v>
      </c>
      <c r="L435" s="100">
        <v>106960.5</v>
      </c>
      <c r="M435" s="100">
        <v>0</v>
      </c>
      <c r="N435" s="60">
        <v>0</v>
      </c>
      <c r="O435" s="61">
        <f t="shared" ref="O435:Q435" si="2291">AA435+AD435+AG435+AJ435+AM435+AP435+AS435+AV435+AY435+BB435+BE435+BH435</f>
        <v>0</v>
      </c>
      <c r="P435" s="61">
        <f t="shared" si="2291"/>
        <v>106960.5</v>
      </c>
      <c r="Q435" s="61">
        <f t="shared" si="2291"/>
        <v>0</v>
      </c>
      <c r="R435" s="61">
        <f t="shared" ref="R435:T435" si="2292">IF(BK435=0,SUM(AA435+AD435+AG435+AJ435+AM435+AP435+AS435+AV435+AY435+BB435+BE435+BH435),BK435)</f>
        <v>0</v>
      </c>
      <c r="S435" s="61">
        <f t="shared" si="2292"/>
        <v>106960.5</v>
      </c>
      <c r="T435" s="61">
        <f t="shared" si="2292"/>
        <v>0</v>
      </c>
      <c r="U435" s="63">
        <f t="shared" si="2247"/>
        <v>0</v>
      </c>
      <c r="V435" s="63">
        <f t="shared" si="2248"/>
        <v>0</v>
      </c>
      <c r="W435" s="63">
        <f t="shared" si="2249"/>
        <v>0</v>
      </c>
      <c r="X435" s="64">
        <f t="shared" ref="X435:Y435" si="2293">IF(O435&gt;0,O435/K435,0)</f>
        <v>0</v>
      </c>
      <c r="Y435" s="64">
        <f t="shared" si="2293"/>
        <v>1</v>
      </c>
      <c r="Z435" s="64">
        <f t="shared" si="1658"/>
        <v>0</v>
      </c>
      <c r="AA435" s="65"/>
      <c r="AB435" s="65"/>
      <c r="AC435" s="65"/>
      <c r="AD435" s="65"/>
      <c r="AE435" s="66"/>
      <c r="AF435" s="66"/>
      <c r="AG435" s="66"/>
      <c r="AH435" s="66">
        <f>27645+18069</f>
        <v>45714</v>
      </c>
      <c r="AI435" s="65"/>
      <c r="AJ435" s="65"/>
      <c r="AK435" s="65">
        <f>55187.4+6059.1</f>
        <v>61246.5</v>
      </c>
      <c r="AL435" s="65"/>
      <c r="AM435" s="65"/>
      <c r="AN435" s="65"/>
      <c r="AO435" s="65"/>
      <c r="AP435" s="65"/>
      <c r="AQ435" s="65"/>
      <c r="AR435" s="65"/>
      <c r="AS435" s="65"/>
      <c r="AT435" s="65"/>
      <c r="AU435" s="65"/>
      <c r="AV435" s="65"/>
      <c r="AW435" s="65"/>
      <c r="AX435" s="65"/>
      <c r="AY435" s="65"/>
      <c r="AZ435" s="65"/>
      <c r="BA435" s="65"/>
      <c r="BB435" s="65"/>
      <c r="BC435" s="65"/>
      <c r="BD435" s="65"/>
      <c r="BE435" s="65"/>
      <c r="BF435" s="65"/>
      <c r="BG435" s="65"/>
      <c r="BH435" s="65"/>
      <c r="BI435" s="65"/>
      <c r="BJ435" s="65"/>
      <c r="BK435" s="65">
        <v>0</v>
      </c>
      <c r="BL435" s="65">
        <v>0</v>
      </c>
      <c r="BM435" s="65">
        <v>0</v>
      </c>
      <c r="BN435" s="65">
        <f t="shared" si="2257"/>
        <v>0</v>
      </c>
      <c r="BO435" s="67">
        <f t="shared" si="2258"/>
        <v>0</v>
      </c>
      <c r="BP435" s="65">
        <f t="shared" si="2259"/>
        <v>0</v>
      </c>
      <c r="BQ435" s="65">
        <f t="shared" si="2260"/>
        <v>0</v>
      </c>
      <c r="BR435" s="65">
        <f t="shared" si="2261"/>
        <v>0</v>
      </c>
      <c r="BS435" s="65">
        <f t="shared" si="2262"/>
        <v>0</v>
      </c>
      <c r="BT435" s="65">
        <f t="shared" si="2263"/>
        <v>0</v>
      </c>
      <c r="BU435" s="65">
        <f t="shared" si="2264"/>
        <v>0</v>
      </c>
      <c r="BV435" s="65">
        <f t="shared" si="2265"/>
        <v>0</v>
      </c>
      <c r="BW435" s="65">
        <f t="shared" si="2266"/>
        <v>0</v>
      </c>
      <c r="BX435" s="6"/>
      <c r="BY435" s="6"/>
      <c r="BZ435" s="6"/>
      <c r="CA435" s="6"/>
      <c r="CB435" s="6"/>
      <c r="CC435" s="6"/>
      <c r="CD435" s="6"/>
      <c r="CE435" s="6"/>
      <c r="CF435" s="6"/>
      <c r="CG435" s="6"/>
    </row>
    <row r="436" spans="1:85" ht="15.75" customHeight="1">
      <c r="A436" s="54"/>
      <c r="B436" s="54"/>
      <c r="C436" s="68" t="s">
        <v>88</v>
      </c>
      <c r="D436" s="70" t="s">
        <v>545</v>
      </c>
      <c r="E436" s="99">
        <v>0</v>
      </c>
      <c r="F436" s="99">
        <v>0</v>
      </c>
      <c r="G436" s="58">
        <f t="shared" si="2244"/>
        <v>0</v>
      </c>
      <c r="H436" s="99">
        <v>0</v>
      </c>
      <c r="I436" s="59">
        <f t="shared" si="2239"/>
        <v>0</v>
      </c>
      <c r="J436" s="59">
        <f t="shared" si="2240"/>
        <v>0</v>
      </c>
      <c r="K436" s="74">
        <v>0</v>
      </c>
      <c r="L436" s="74">
        <v>0</v>
      </c>
      <c r="M436" s="74">
        <v>0</v>
      </c>
      <c r="N436" s="74">
        <v>0</v>
      </c>
      <c r="O436" s="61">
        <f t="shared" ref="O436:Q436" si="2294">AA436+AD436+AG436+AJ436+AM436+AP436+AS436+AV436+AY436+BB436+BE436+BH436</f>
        <v>0</v>
      </c>
      <c r="P436" s="61">
        <f t="shared" si="2294"/>
        <v>0</v>
      </c>
      <c r="Q436" s="61">
        <f t="shared" si="2294"/>
        <v>0</v>
      </c>
      <c r="R436" s="61">
        <f t="shared" ref="R436:T436" si="2295">IF(BK436=0,SUM(AA436+AD436+AG436+AJ436+AM436+AP436+AS436+AV436+AY436+BB436+BE436+BH436),BK436)</f>
        <v>0</v>
      </c>
      <c r="S436" s="61">
        <f t="shared" si="2295"/>
        <v>0</v>
      </c>
      <c r="T436" s="61">
        <f t="shared" si="2295"/>
        <v>0</v>
      </c>
      <c r="U436" s="63">
        <f t="shared" si="2247"/>
        <v>0</v>
      </c>
      <c r="V436" s="63">
        <f t="shared" si="2248"/>
        <v>0</v>
      </c>
      <c r="W436" s="63">
        <f t="shared" si="2249"/>
        <v>0</v>
      </c>
      <c r="X436" s="64">
        <f t="shared" ref="X436:Y436" si="2296">IF(O436&gt;0,O436/K436,0)</f>
        <v>0</v>
      </c>
      <c r="Y436" s="64">
        <f t="shared" si="2296"/>
        <v>0</v>
      </c>
      <c r="Z436" s="64">
        <f t="shared" si="1658"/>
        <v>0</v>
      </c>
      <c r="AA436" s="65"/>
      <c r="AB436" s="65"/>
      <c r="AC436" s="65"/>
      <c r="AD436" s="65"/>
      <c r="AE436" s="66"/>
      <c r="AF436" s="66"/>
      <c r="AG436" s="66"/>
      <c r="AH436" s="66"/>
      <c r="AI436" s="65"/>
      <c r="AJ436" s="65"/>
      <c r="AK436" s="65"/>
      <c r="AL436" s="65"/>
      <c r="AM436" s="65"/>
      <c r="AN436" s="65"/>
      <c r="AO436" s="65"/>
      <c r="AP436" s="65"/>
      <c r="AQ436" s="65"/>
      <c r="AR436" s="65"/>
      <c r="AS436" s="65"/>
      <c r="AT436" s="65"/>
      <c r="AU436" s="65"/>
      <c r="AV436" s="65"/>
      <c r="AW436" s="65"/>
      <c r="AX436" s="65"/>
      <c r="AY436" s="65"/>
      <c r="AZ436" s="65"/>
      <c r="BA436" s="65"/>
      <c r="BB436" s="65"/>
      <c r="BC436" s="65"/>
      <c r="BD436" s="65"/>
      <c r="BE436" s="65"/>
      <c r="BF436" s="65"/>
      <c r="BG436" s="65"/>
      <c r="BH436" s="65"/>
      <c r="BI436" s="65"/>
      <c r="BJ436" s="65"/>
      <c r="BK436" s="65">
        <v>0</v>
      </c>
      <c r="BL436" s="65">
        <v>0</v>
      </c>
      <c r="BM436" s="65">
        <v>0</v>
      </c>
      <c r="BN436" s="65">
        <f t="shared" si="2257"/>
        <v>0</v>
      </c>
      <c r="BO436" s="67">
        <f t="shared" si="2258"/>
        <v>0</v>
      </c>
      <c r="BP436" s="65">
        <f t="shared" si="2259"/>
        <v>0</v>
      </c>
      <c r="BQ436" s="65">
        <f t="shared" si="2260"/>
        <v>0</v>
      </c>
      <c r="BR436" s="65">
        <f t="shared" si="2261"/>
        <v>0</v>
      </c>
      <c r="BS436" s="65">
        <f t="shared" si="2262"/>
        <v>0</v>
      </c>
      <c r="BT436" s="65">
        <f t="shared" si="2263"/>
        <v>0</v>
      </c>
      <c r="BU436" s="65">
        <f t="shared" si="2264"/>
        <v>0</v>
      </c>
      <c r="BV436" s="65">
        <f t="shared" si="2265"/>
        <v>0</v>
      </c>
      <c r="BW436" s="65">
        <f t="shared" si="2266"/>
        <v>0</v>
      </c>
      <c r="BX436" s="6"/>
      <c r="BY436" s="6"/>
      <c r="BZ436" s="6"/>
      <c r="CA436" s="6"/>
      <c r="CB436" s="6"/>
      <c r="CC436" s="6"/>
      <c r="CD436" s="6"/>
      <c r="CE436" s="6"/>
      <c r="CF436" s="6"/>
      <c r="CG436" s="6"/>
    </row>
    <row r="437" spans="1:85" ht="15.75" customHeight="1">
      <c r="A437" s="54"/>
      <c r="B437" s="54" t="s">
        <v>546</v>
      </c>
      <c r="C437" s="68" t="s">
        <v>88</v>
      </c>
      <c r="D437" s="70" t="s">
        <v>547</v>
      </c>
      <c r="E437" s="99">
        <v>0</v>
      </c>
      <c r="F437" s="99">
        <v>0</v>
      </c>
      <c r="G437" s="58">
        <f t="shared" si="2244"/>
        <v>0</v>
      </c>
      <c r="H437" s="99">
        <v>0</v>
      </c>
      <c r="I437" s="59">
        <f t="shared" si="2239"/>
        <v>0</v>
      </c>
      <c r="J437" s="59">
        <f t="shared" si="2240"/>
        <v>0</v>
      </c>
      <c r="K437" s="74">
        <v>0</v>
      </c>
      <c r="L437" s="100">
        <v>719.92</v>
      </c>
      <c r="M437" s="74">
        <v>0</v>
      </c>
      <c r="N437" s="74">
        <v>0</v>
      </c>
      <c r="O437" s="61">
        <f t="shared" ref="O437:Q437" si="2297">AA437+AD437+AG437+AJ437+AM437+AP437+AS437+AV437+AY437+BB437+BE437+BH437</f>
        <v>0</v>
      </c>
      <c r="P437" s="61">
        <f t="shared" si="2297"/>
        <v>719.92</v>
      </c>
      <c r="Q437" s="61">
        <f t="shared" si="2297"/>
        <v>0</v>
      </c>
      <c r="R437" s="61">
        <f t="shared" ref="R437:T437" si="2298">IF(BK437=0,SUM(AA437+AD437+AG437+AJ437+AM437+AP437+AS437+AV437+AY437+BB437+BE437+BH437),BK437)</f>
        <v>0</v>
      </c>
      <c r="S437" s="61">
        <f t="shared" si="2298"/>
        <v>719.92</v>
      </c>
      <c r="T437" s="61">
        <f t="shared" si="2298"/>
        <v>0</v>
      </c>
      <c r="U437" s="63">
        <f t="shared" si="2247"/>
        <v>0</v>
      </c>
      <c r="V437" s="63">
        <f t="shared" si="2248"/>
        <v>0</v>
      </c>
      <c r="W437" s="63">
        <f t="shared" si="2249"/>
        <v>0</v>
      </c>
      <c r="X437" s="64">
        <f t="shared" ref="X437:Y437" si="2299">IF(O437&gt;0,O437/K437,0)</f>
        <v>0</v>
      </c>
      <c r="Y437" s="64">
        <f t="shared" si="2299"/>
        <v>1</v>
      </c>
      <c r="Z437" s="64">
        <f t="shared" si="1658"/>
        <v>0</v>
      </c>
      <c r="AA437" s="65"/>
      <c r="AB437" s="65"/>
      <c r="AC437" s="65"/>
      <c r="AD437" s="65"/>
      <c r="AE437" s="66"/>
      <c r="AF437" s="66"/>
      <c r="AG437" s="66"/>
      <c r="AH437" s="66"/>
      <c r="AI437" s="65"/>
      <c r="AJ437" s="65"/>
      <c r="AK437" s="65">
        <f>719.92</f>
        <v>719.92</v>
      </c>
      <c r="AL437" s="65"/>
      <c r="AM437" s="65"/>
      <c r="AN437" s="65"/>
      <c r="AO437" s="65"/>
      <c r="AP437" s="65"/>
      <c r="AQ437" s="65"/>
      <c r="AR437" s="65"/>
      <c r="AS437" s="65"/>
      <c r="AT437" s="65"/>
      <c r="AU437" s="65"/>
      <c r="AV437" s="65"/>
      <c r="AW437" s="65"/>
      <c r="AX437" s="65"/>
      <c r="AY437" s="65"/>
      <c r="AZ437" s="65"/>
      <c r="BA437" s="65"/>
      <c r="BB437" s="65"/>
      <c r="BC437" s="65"/>
      <c r="BD437" s="65"/>
      <c r="BE437" s="65"/>
      <c r="BF437" s="65"/>
      <c r="BG437" s="65"/>
      <c r="BH437" s="65"/>
      <c r="BI437" s="65"/>
      <c r="BJ437" s="65"/>
      <c r="BK437" s="65">
        <v>0</v>
      </c>
      <c r="BL437" s="65">
        <v>0</v>
      </c>
      <c r="BM437" s="65">
        <v>0</v>
      </c>
      <c r="BN437" s="65">
        <f t="shared" si="2257"/>
        <v>0</v>
      </c>
      <c r="BO437" s="67">
        <f t="shared" si="2258"/>
        <v>0</v>
      </c>
      <c r="BP437" s="65">
        <f t="shared" si="2259"/>
        <v>0</v>
      </c>
      <c r="BQ437" s="65">
        <f t="shared" si="2260"/>
        <v>0</v>
      </c>
      <c r="BR437" s="65">
        <f t="shared" si="2261"/>
        <v>0</v>
      </c>
      <c r="BS437" s="65">
        <f t="shared" si="2262"/>
        <v>0</v>
      </c>
      <c r="BT437" s="65">
        <f t="shared" si="2263"/>
        <v>0</v>
      </c>
      <c r="BU437" s="65">
        <f t="shared" si="2264"/>
        <v>0</v>
      </c>
      <c r="BV437" s="65">
        <f t="shared" si="2265"/>
        <v>0</v>
      </c>
      <c r="BW437" s="65">
        <f t="shared" si="2266"/>
        <v>0</v>
      </c>
      <c r="BX437" s="6"/>
      <c r="BY437" s="6"/>
      <c r="BZ437" s="6"/>
      <c r="CA437" s="6"/>
      <c r="CB437" s="6"/>
      <c r="CC437" s="6"/>
      <c r="CD437" s="6"/>
      <c r="CE437" s="6"/>
      <c r="CF437" s="6"/>
      <c r="CG437" s="6"/>
    </row>
    <row r="438" spans="1:85" ht="15.75" customHeight="1">
      <c r="A438" s="54"/>
      <c r="B438" s="54" t="s">
        <v>548</v>
      </c>
      <c r="C438" s="68" t="s">
        <v>88</v>
      </c>
      <c r="D438" s="70" t="s">
        <v>547</v>
      </c>
      <c r="E438" s="99">
        <v>0</v>
      </c>
      <c r="F438" s="99">
        <v>0</v>
      </c>
      <c r="G438" s="58">
        <f t="shared" si="2244"/>
        <v>0</v>
      </c>
      <c r="H438" s="99">
        <v>0</v>
      </c>
      <c r="I438" s="59">
        <f t="shared" si="2239"/>
        <v>0</v>
      </c>
      <c r="J438" s="59">
        <f t="shared" si="2240"/>
        <v>0</v>
      </c>
      <c r="K438" s="74">
        <v>0</v>
      </c>
      <c r="L438" s="100">
        <v>2942.8</v>
      </c>
      <c r="M438" s="74">
        <v>0</v>
      </c>
      <c r="N438" s="74">
        <v>0</v>
      </c>
      <c r="O438" s="61">
        <f t="shared" ref="O438:Q438" si="2300">AA438+AD438+AG438+AJ438+AM438+AP438+AS438+AV438+AY438+BB438+BE438+BH438</f>
        <v>0</v>
      </c>
      <c r="P438" s="61">
        <f t="shared" si="2300"/>
        <v>2942.8</v>
      </c>
      <c r="Q438" s="61">
        <f t="shared" si="2300"/>
        <v>0</v>
      </c>
      <c r="R438" s="61">
        <f t="shared" ref="R438:T438" si="2301">IF(BK438=0,SUM(AA438+AD438+AG438+AJ438+AM438+AP438+AS438+AV438+AY438+BB438+BE438+BH438),BK438)</f>
        <v>0</v>
      </c>
      <c r="S438" s="61">
        <f t="shared" si="2301"/>
        <v>2942.8</v>
      </c>
      <c r="T438" s="61">
        <f t="shared" si="2301"/>
        <v>0</v>
      </c>
      <c r="U438" s="63">
        <f t="shared" si="2247"/>
        <v>0</v>
      </c>
      <c r="V438" s="63">
        <f t="shared" si="2248"/>
        <v>0</v>
      </c>
      <c r="W438" s="63">
        <f t="shared" si="2249"/>
        <v>0</v>
      </c>
      <c r="X438" s="64">
        <f t="shared" ref="X438:Y438" si="2302">IF(O438&gt;0,O438/K438,0)</f>
        <v>0</v>
      </c>
      <c r="Y438" s="64">
        <f t="shared" si="2302"/>
        <v>1</v>
      </c>
      <c r="Z438" s="64">
        <f t="shared" si="1658"/>
        <v>0</v>
      </c>
      <c r="AA438" s="65"/>
      <c r="AB438" s="65"/>
      <c r="AC438" s="65"/>
      <c r="AD438" s="65"/>
      <c r="AE438" s="66"/>
      <c r="AF438" s="66"/>
      <c r="AG438" s="66"/>
      <c r="AH438" s="66"/>
      <c r="AI438" s="65"/>
      <c r="AJ438" s="65"/>
      <c r="AK438" s="65"/>
      <c r="AL438" s="65"/>
      <c r="AM438" s="65"/>
      <c r="AN438" s="65">
        <f>2942.8</f>
        <v>2942.8</v>
      </c>
      <c r="AO438" s="65"/>
      <c r="AP438" s="65"/>
      <c r="AQ438" s="65"/>
      <c r="AR438" s="65"/>
      <c r="AS438" s="65"/>
      <c r="AT438" s="65"/>
      <c r="AU438" s="65"/>
      <c r="AV438" s="65"/>
      <c r="AW438" s="65"/>
      <c r="AX438" s="65"/>
      <c r="AY438" s="65"/>
      <c r="AZ438" s="65"/>
      <c r="BA438" s="65"/>
      <c r="BB438" s="65"/>
      <c r="BC438" s="65"/>
      <c r="BD438" s="65"/>
      <c r="BE438" s="65"/>
      <c r="BF438" s="65"/>
      <c r="BG438" s="65"/>
      <c r="BH438" s="65"/>
      <c r="BI438" s="65"/>
      <c r="BJ438" s="65"/>
      <c r="BK438" s="65">
        <v>0</v>
      </c>
      <c r="BL438" s="65">
        <v>0</v>
      </c>
      <c r="BM438" s="65">
        <v>0</v>
      </c>
      <c r="BN438" s="65">
        <f t="shared" si="2257"/>
        <v>0</v>
      </c>
      <c r="BO438" s="67">
        <f t="shared" si="2258"/>
        <v>0</v>
      </c>
      <c r="BP438" s="65">
        <f t="shared" si="2259"/>
        <v>0</v>
      </c>
      <c r="BQ438" s="65">
        <f t="shared" si="2260"/>
        <v>0</v>
      </c>
      <c r="BR438" s="65">
        <f t="shared" si="2261"/>
        <v>0</v>
      </c>
      <c r="BS438" s="65">
        <f t="shared" si="2262"/>
        <v>0</v>
      </c>
      <c r="BT438" s="65">
        <f t="shared" si="2263"/>
        <v>0</v>
      </c>
      <c r="BU438" s="65">
        <f t="shared" si="2264"/>
        <v>0</v>
      </c>
      <c r="BV438" s="65">
        <f t="shared" si="2265"/>
        <v>0</v>
      </c>
      <c r="BW438" s="65">
        <f t="shared" si="2266"/>
        <v>0</v>
      </c>
      <c r="BX438" s="6"/>
      <c r="BY438" s="6"/>
      <c r="BZ438" s="6"/>
      <c r="CA438" s="6"/>
      <c r="CB438" s="6"/>
      <c r="CC438" s="6"/>
      <c r="CD438" s="6"/>
      <c r="CE438" s="6"/>
      <c r="CF438" s="6"/>
      <c r="CG438" s="6"/>
    </row>
    <row r="439" spans="1:85" ht="15.75" customHeight="1">
      <c r="A439" s="54"/>
      <c r="B439" s="54" t="s">
        <v>549</v>
      </c>
      <c r="C439" s="68" t="s">
        <v>88</v>
      </c>
      <c r="D439" s="70" t="s">
        <v>545</v>
      </c>
      <c r="E439" s="99">
        <v>0</v>
      </c>
      <c r="F439" s="99">
        <v>0</v>
      </c>
      <c r="G439" s="58">
        <f t="shared" si="2244"/>
        <v>0</v>
      </c>
      <c r="H439" s="99">
        <v>0</v>
      </c>
      <c r="I439" s="59">
        <f t="shared" si="2239"/>
        <v>0</v>
      </c>
      <c r="J439" s="59">
        <f t="shared" si="2240"/>
        <v>0</v>
      </c>
      <c r="K439" s="74">
        <v>0</v>
      </c>
      <c r="L439" s="100">
        <v>79525.05</v>
      </c>
      <c r="M439" s="74">
        <v>0</v>
      </c>
      <c r="N439" s="74">
        <v>0</v>
      </c>
      <c r="O439" s="61">
        <f t="shared" ref="O439:Q439" si="2303">AA439+AD439+AG439+AJ439+AM439+AP439+AS439+AV439+AY439+BB439+BE439+BH439</f>
        <v>0</v>
      </c>
      <c r="P439" s="61">
        <f t="shared" si="2303"/>
        <v>61560.05</v>
      </c>
      <c r="Q439" s="61">
        <f t="shared" si="2303"/>
        <v>0</v>
      </c>
      <c r="R439" s="61">
        <f t="shared" ref="R439:T439" si="2304">IF(BK439=0,SUM(AA439+AD439+AG439+AJ439+AM439+AP439+AS439+AV439+AY439+BB439+BE439+BH439),BK439)</f>
        <v>0</v>
      </c>
      <c r="S439" s="61">
        <f t="shared" si="2304"/>
        <v>61560.05</v>
      </c>
      <c r="T439" s="61">
        <f t="shared" si="2304"/>
        <v>0</v>
      </c>
      <c r="U439" s="63">
        <f t="shared" si="2247"/>
        <v>0</v>
      </c>
      <c r="V439" s="62">
        <f t="shared" si="2248"/>
        <v>17965</v>
      </c>
      <c r="W439" s="63">
        <f t="shared" si="2249"/>
        <v>0</v>
      </c>
      <c r="X439" s="64">
        <f t="shared" ref="X439:Y439" si="2305">IF(O439&gt;0,O439/K439,0)</f>
        <v>0</v>
      </c>
      <c r="Y439" s="64">
        <f t="shared" si="2305"/>
        <v>0.7740963381978383</v>
      </c>
      <c r="Z439" s="64">
        <f t="shared" si="1658"/>
        <v>0</v>
      </c>
      <c r="AA439" s="65"/>
      <c r="AB439" s="65"/>
      <c r="AC439" s="65"/>
      <c r="AD439" s="65"/>
      <c r="AE439" s="66"/>
      <c r="AF439" s="66"/>
      <c r="AG439" s="66"/>
      <c r="AH439" s="66">
        <f>21689</f>
        <v>21689</v>
      </c>
      <c r="AI439" s="65"/>
      <c r="AJ439" s="65"/>
      <c r="AK439" s="65"/>
      <c r="AL439" s="65"/>
      <c r="AM439" s="65"/>
      <c r="AN439" s="65">
        <f>28157.3</f>
        <v>28157.3</v>
      </c>
      <c r="AO439" s="65"/>
      <c r="AP439" s="65"/>
      <c r="AQ439" s="65">
        <f>11713.75</f>
        <v>11713.75</v>
      </c>
      <c r="AR439" s="65"/>
      <c r="AS439" s="65"/>
      <c r="AT439" s="65"/>
      <c r="AU439" s="65"/>
      <c r="AV439" s="65"/>
      <c r="AW439" s="65"/>
      <c r="AX439" s="65"/>
      <c r="AY439" s="65"/>
      <c r="AZ439" s="65"/>
      <c r="BA439" s="65"/>
      <c r="BB439" s="65"/>
      <c r="BC439" s="65"/>
      <c r="BD439" s="65"/>
      <c r="BE439" s="65"/>
      <c r="BF439" s="65"/>
      <c r="BG439" s="65"/>
      <c r="BH439" s="65"/>
      <c r="BI439" s="65"/>
      <c r="BJ439" s="65"/>
      <c r="BK439" s="65">
        <v>0</v>
      </c>
      <c r="BL439" s="65">
        <v>0</v>
      </c>
      <c r="BM439" s="65">
        <v>0</v>
      </c>
      <c r="BN439" s="65">
        <f t="shared" si="2257"/>
        <v>0</v>
      </c>
      <c r="BO439" s="67">
        <f t="shared" si="2258"/>
        <v>0</v>
      </c>
      <c r="BP439" s="65">
        <f t="shared" si="2259"/>
        <v>0</v>
      </c>
      <c r="BQ439" s="65">
        <f t="shared" si="2260"/>
        <v>0</v>
      </c>
      <c r="BR439" s="65">
        <f t="shared" si="2261"/>
        <v>0</v>
      </c>
      <c r="BS439" s="65">
        <f t="shared" si="2262"/>
        <v>0</v>
      </c>
      <c r="BT439" s="65">
        <f t="shared" si="2263"/>
        <v>17965</v>
      </c>
      <c r="BU439" s="65">
        <f t="shared" si="2264"/>
        <v>0</v>
      </c>
      <c r="BV439" s="65">
        <f t="shared" si="2265"/>
        <v>0</v>
      </c>
      <c r="BW439" s="65">
        <f t="shared" si="2266"/>
        <v>17965</v>
      </c>
      <c r="BX439" s="6"/>
      <c r="BY439" s="6"/>
      <c r="BZ439" s="6"/>
      <c r="CA439" s="6"/>
      <c r="CB439" s="6"/>
      <c r="CC439" s="6"/>
      <c r="CD439" s="6"/>
      <c r="CE439" s="6"/>
      <c r="CF439" s="6"/>
      <c r="CG439" s="6"/>
    </row>
    <row r="440" spans="1:85" ht="15.75" customHeight="1">
      <c r="A440" s="52" t="s">
        <v>550</v>
      </c>
      <c r="B440" s="54"/>
      <c r="C440" s="68" t="s">
        <v>88</v>
      </c>
      <c r="D440" s="70" t="s">
        <v>551</v>
      </c>
      <c r="E440" s="99">
        <v>0</v>
      </c>
      <c r="F440" s="99">
        <v>0</v>
      </c>
      <c r="G440" s="58">
        <f t="shared" si="2244"/>
        <v>0</v>
      </c>
      <c r="H440" s="99">
        <v>0</v>
      </c>
      <c r="I440" s="59">
        <f t="shared" si="2239"/>
        <v>0</v>
      </c>
      <c r="J440" s="59">
        <f t="shared" si="2240"/>
        <v>0</v>
      </c>
      <c r="K440" s="74">
        <v>0</v>
      </c>
      <c r="L440" s="100">
        <v>0</v>
      </c>
      <c r="M440" s="74">
        <v>0</v>
      </c>
      <c r="N440" s="74">
        <v>78090</v>
      </c>
      <c r="O440" s="61">
        <f t="shared" ref="O440:Q440" si="2306">AA440+AD440+AG440+AJ440+AM440+AP440+AS440+AV440+AY440+BB440+BE440+BH440</f>
        <v>0</v>
      </c>
      <c r="P440" s="61">
        <f t="shared" si="2306"/>
        <v>0</v>
      </c>
      <c r="Q440" s="61">
        <f t="shared" si="2306"/>
        <v>0</v>
      </c>
      <c r="R440" s="61">
        <f t="shared" ref="R440:T440" si="2307">IF(BK440=0,SUM(AA440+AD440+AG440+AJ440+AM440+AP440+AS440+AV440+AY440+BB440+BE440+BH440),BK440)</f>
        <v>0</v>
      </c>
      <c r="S440" s="61">
        <f t="shared" si="2307"/>
        <v>0</v>
      </c>
      <c r="T440" s="61">
        <f t="shared" si="2307"/>
        <v>0</v>
      </c>
      <c r="U440" s="63">
        <f t="shared" si="2247"/>
        <v>0</v>
      </c>
      <c r="V440" s="170">
        <f t="shared" si="2248"/>
        <v>0</v>
      </c>
      <c r="W440" s="62">
        <f t="shared" si="2249"/>
        <v>78090</v>
      </c>
      <c r="X440" s="64">
        <f t="shared" ref="X440:Y440" si="2308">IF(O440&gt;0,O440/K440,0)</f>
        <v>0</v>
      </c>
      <c r="Y440" s="64">
        <f t="shared" si="2308"/>
        <v>0</v>
      </c>
      <c r="Z440" s="64">
        <f t="shared" si="1658"/>
        <v>0</v>
      </c>
      <c r="AA440" s="65"/>
      <c r="AB440" s="65"/>
      <c r="AC440" s="65"/>
      <c r="AD440" s="65"/>
      <c r="AE440" s="66"/>
      <c r="AF440" s="113"/>
      <c r="AG440" s="66"/>
      <c r="AH440" s="66"/>
      <c r="AI440" s="100"/>
      <c r="AJ440" s="65"/>
      <c r="AK440" s="65"/>
      <c r="AL440" s="65"/>
      <c r="AM440" s="65"/>
      <c r="AN440" s="65"/>
      <c r="AO440" s="65"/>
      <c r="AP440" s="65"/>
      <c r="AQ440" s="65"/>
      <c r="AR440" s="65"/>
      <c r="AS440" s="65"/>
      <c r="AT440" s="65"/>
      <c r="AU440" s="65"/>
      <c r="AV440" s="65"/>
      <c r="AW440" s="65"/>
      <c r="AX440" s="65"/>
      <c r="AY440" s="65"/>
      <c r="AZ440" s="65"/>
      <c r="BA440" s="65"/>
      <c r="BB440" s="65"/>
      <c r="BC440" s="65"/>
      <c r="BD440" s="65"/>
      <c r="BE440" s="65"/>
      <c r="BF440" s="65"/>
      <c r="BG440" s="65"/>
      <c r="BH440" s="65"/>
      <c r="BI440" s="65"/>
      <c r="BJ440" s="65"/>
      <c r="BK440" s="65">
        <v>0</v>
      </c>
      <c r="BL440" s="65">
        <v>0</v>
      </c>
      <c r="BM440" s="65">
        <v>0</v>
      </c>
      <c r="BN440" s="65">
        <f t="shared" si="2257"/>
        <v>0</v>
      </c>
      <c r="BO440" s="67">
        <f t="shared" si="2258"/>
        <v>0</v>
      </c>
      <c r="BP440" s="65">
        <f t="shared" si="2259"/>
        <v>0</v>
      </c>
      <c r="BQ440" s="65">
        <f t="shared" si="2260"/>
        <v>0</v>
      </c>
      <c r="BR440" s="65">
        <f t="shared" si="2261"/>
        <v>78090</v>
      </c>
      <c r="BS440" s="65">
        <f t="shared" si="2262"/>
        <v>78090</v>
      </c>
      <c r="BT440" s="65">
        <f t="shared" si="2263"/>
        <v>0</v>
      </c>
      <c r="BU440" s="65">
        <f t="shared" si="2264"/>
        <v>0</v>
      </c>
      <c r="BV440" s="65">
        <f t="shared" si="2265"/>
        <v>78090</v>
      </c>
      <c r="BW440" s="65">
        <f t="shared" si="2266"/>
        <v>78090</v>
      </c>
      <c r="BX440" s="223"/>
      <c r="BY440" s="223"/>
      <c r="BZ440" s="223"/>
      <c r="CA440" s="223"/>
      <c r="CB440" s="223"/>
      <c r="CC440" s="223"/>
      <c r="CD440" s="223"/>
      <c r="CE440" s="223"/>
      <c r="CF440" s="223"/>
      <c r="CG440" s="223"/>
    </row>
    <row r="441" spans="1:85" ht="15.75" customHeight="1">
      <c r="A441" s="52" t="s">
        <v>552</v>
      </c>
      <c r="B441" s="54"/>
      <c r="C441" s="104" t="s">
        <v>500</v>
      </c>
      <c r="D441" s="105" t="s">
        <v>553</v>
      </c>
      <c r="E441" s="99">
        <v>0</v>
      </c>
      <c r="F441" s="99">
        <v>0</v>
      </c>
      <c r="G441" s="58">
        <f t="shared" si="2244"/>
        <v>0</v>
      </c>
      <c r="H441" s="99">
        <v>0</v>
      </c>
      <c r="I441" s="59">
        <f t="shared" si="2239"/>
        <v>0</v>
      </c>
      <c r="J441" s="59">
        <f t="shared" si="2240"/>
        <v>0</v>
      </c>
      <c r="K441" s="74">
        <v>0</v>
      </c>
      <c r="L441" s="100">
        <v>0</v>
      </c>
      <c r="M441" s="74">
        <v>0</v>
      </c>
      <c r="N441" s="74">
        <v>6441.6</v>
      </c>
      <c r="O441" s="61">
        <f t="shared" ref="O441:Q441" si="2309">AA441+AD441+AG441+AJ441+AM441+AP441+AS441+AV441+AY441+BB441+BE441+BH441</f>
        <v>0</v>
      </c>
      <c r="P441" s="61">
        <f t="shared" si="2309"/>
        <v>0</v>
      </c>
      <c r="Q441" s="61">
        <f t="shared" si="2309"/>
        <v>6342.59</v>
      </c>
      <c r="R441" s="61">
        <f t="shared" ref="R441:T441" si="2310">IF(BK441=0,SUM(AA441+AD441+AG441+AJ441+AM441+AP441+AS441+AV441+AY441+BB441+BE441+BH441),BK441)</f>
        <v>0</v>
      </c>
      <c r="S441" s="61">
        <f t="shared" si="2310"/>
        <v>0</v>
      </c>
      <c r="T441" s="61">
        <f t="shared" si="2310"/>
        <v>6342.59</v>
      </c>
      <c r="U441" s="63">
        <f t="shared" si="2247"/>
        <v>0</v>
      </c>
      <c r="V441" s="170">
        <f t="shared" si="2248"/>
        <v>0</v>
      </c>
      <c r="W441" s="62">
        <f t="shared" si="2249"/>
        <v>99.010000000000218</v>
      </c>
      <c r="X441" s="64">
        <f t="shared" ref="X441:Y441" si="2311">IF(O441&gt;0,O441/K441,0)</f>
        <v>0</v>
      </c>
      <c r="Y441" s="64">
        <f t="shared" si="2311"/>
        <v>0</v>
      </c>
      <c r="Z441" s="64">
        <f t="shared" si="1658"/>
        <v>0.98462959513164428</v>
      </c>
      <c r="AA441" s="65"/>
      <c r="AB441" s="65"/>
      <c r="AC441" s="65"/>
      <c r="AD441" s="65"/>
      <c r="AE441" s="66"/>
      <c r="AF441" s="113"/>
      <c r="AG441" s="66"/>
      <c r="AH441" s="66"/>
      <c r="AI441" s="100"/>
      <c r="AJ441" s="65"/>
      <c r="AK441" s="65"/>
      <c r="AL441" s="65"/>
      <c r="AM441" s="65"/>
      <c r="AN441" s="65"/>
      <c r="AO441" s="65"/>
      <c r="AP441" s="65"/>
      <c r="AQ441" s="65"/>
      <c r="AR441" s="100">
        <v>6342.59</v>
      </c>
      <c r="AS441" s="65"/>
      <c r="AT441" s="65"/>
      <c r="AU441" s="65"/>
      <c r="AV441" s="65"/>
      <c r="AW441" s="65"/>
      <c r="AX441" s="65"/>
      <c r="AY441" s="65"/>
      <c r="AZ441" s="65"/>
      <c r="BA441" s="65"/>
      <c r="BB441" s="65"/>
      <c r="BC441" s="65"/>
      <c r="BD441" s="65"/>
      <c r="BE441" s="65"/>
      <c r="BF441" s="65"/>
      <c r="BG441" s="65"/>
      <c r="BH441" s="65"/>
      <c r="BI441" s="65"/>
      <c r="BJ441" s="65"/>
      <c r="BK441" s="65">
        <v>0</v>
      </c>
      <c r="BL441" s="65">
        <v>0</v>
      </c>
      <c r="BM441" s="65">
        <v>0</v>
      </c>
      <c r="BN441" s="65">
        <f t="shared" si="2257"/>
        <v>0</v>
      </c>
      <c r="BO441" s="67">
        <f t="shared" si="2258"/>
        <v>6342.59</v>
      </c>
      <c r="BP441" s="65">
        <f t="shared" si="2259"/>
        <v>6342.59</v>
      </c>
      <c r="BQ441" s="65">
        <f t="shared" si="2260"/>
        <v>0</v>
      </c>
      <c r="BR441" s="65">
        <f t="shared" si="2261"/>
        <v>99.010000000000218</v>
      </c>
      <c r="BS441" s="65">
        <f t="shared" si="2262"/>
        <v>99.010000000000218</v>
      </c>
      <c r="BT441" s="65">
        <f t="shared" si="2263"/>
        <v>0</v>
      </c>
      <c r="BU441" s="65">
        <f t="shared" si="2264"/>
        <v>6342.59</v>
      </c>
      <c r="BV441" s="65">
        <f t="shared" si="2265"/>
        <v>99.010000000000218</v>
      </c>
      <c r="BW441" s="65">
        <f t="shared" si="2266"/>
        <v>6441.6</v>
      </c>
      <c r="BX441" s="223"/>
      <c r="BY441" s="223"/>
      <c r="BZ441" s="223"/>
      <c r="CA441" s="223"/>
      <c r="CB441" s="223"/>
      <c r="CC441" s="223"/>
      <c r="CD441" s="223"/>
      <c r="CE441" s="223"/>
      <c r="CF441" s="223"/>
      <c r="CG441" s="223"/>
    </row>
    <row r="442" spans="1:85" ht="15.75" customHeight="1">
      <c r="A442" s="52" t="s">
        <v>554</v>
      </c>
      <c r="B442" s="54"/>
      <c r="C442" s="104" t="s">
        <v>500</v>
      </c>
      <c r="D442" s="105" t="s">
        <v>553</v>
      </c>
      <c r="E442" s="99">
        <v>0</v>
      </c>
      <c r="F442" s="99">
        <v>0</v>
      </c>
      <c r="G442" s="58">
        <f t="shared" si="2244"/>
        <v>0</v>
      </c>
      <c r="H442" s="99">
        <v>0</v>
      </c>
      <c r="I442" s="59">
        <f t="shared" si="2239"/>
        <v>0</v>
      </c>
      <c r="J442" s="59">
        <f t="shared" si="2240"/>
        <v>0</v>
      </c>
      <c r="K442" s="74">
        <v>0</v>
      </c>
      <c r="L442" s="100">
        <v>0</v>
      </c>
      <c r="M442" s="74">
        <v>0</v>
      </c>
      <c r="N442" s="74">
        <v>7277.6</v>
      </c>
      <c r="O442" s="61">
        <f t="shared" ref="O442:Q442" si="2312">AA442+AD442+AG442+AJ442+AM442+AP442+AS442+AV442+AY442+BB442+BE442+BH442</f>
        <v>0</v>
      </c>
      <c r="P442" s="61">
        <f t="shared" si="2312"/>
        <v>0</v>
      </c>
      <c r="Q442" s="61">
        <f t="shared" si="2312"/>
        <v>0</v>
      </c>
      <c r="R442" s="61">
        <f t="shared" ref="R442:T442" si="2313">IF(BK442=0,SUM(AA442+AD442+AG442+AJ442+AM442+AP442+AS442+AV442+AY442+BB442+BE442+BH442),BK442)</f>
        <v>0</v>
      </c>
      <c r="S442" s="61">
        <f t="shared" si="2313"/>
        <v>0</v>
      </c>
      <c r="T442" s="61">
        <f t="shared" si="2313"/>
        <v>0</v>
      </c>
      <c r="U442" s="63">
        <f t="shared" si="2247"/>
        <v>0</v>
      </c>
      <c r="V442" s="170">
        <f t="shared" si="2248"/>
        <v>0</v>
      </c>
      <c r="W442" s="62">
        <f t="shared" si="2249"/>
        <v>7277.6</v>
      </c>
      <c r="X442" s="64">
        <f t="shared" ref="X442:Y442" si="2314">IF(O442&gt;0,O442/K442,0)</f>
        <v>0</v>
      </c>
      <c r="Y442" s="64">
        <f t="shared" si="2314"/>
        <v>0</v>
      </c>
      <c r="Z442" s="64">
        <f t="shared" si="1658"/>
        <v>0</v>
      </c>
      <c r="AA442" s="65"/>
      <c r="AB442" s="65"/>
      <c r="AC442" s="65"/>
      <c r="AD442" s="65"/>
      <c r="AE442" s="66"/>
      <c r="AF442" s="113"/>
      <c r="AG442" s="66"/>
      <c r="AH442" s="66"/>
      <c r="AI442" s="100"/>
      <c r="AJ442" s="65"/>
      <c r="AK442" s="65"/>
      <c r="AL442" s="65"/>
      <c r="AM442" s="65"/>
      <c r="AN442" s="65"/>
      <c r="AO442" s="65"/>
      <c r="AP442" s="65"/>
      <c r="AQ442" s="65"/>
      <c r="AR442" s="65"/>
      <c r="AS442" s="65"/>
      <c r="AT442" s="65"/>
      <c r="AU442" s="65"/>
      <c r="AV442" s="65"/>
      <c r="AW442" s="65"/>
      <c r="AX442" s="65"/>
      <c r="AY442" s="65"/>
      <c r="AZ442" s="65"/>
      <c r="BA442" s="65"/>
      <c r="BB442" s="65"/>
      <c r="BC442" s="65"/>
      <c r="BD442" s="65"/>
      <c r="BE442" s="65"/>
      <c r="BF442" s="65"/>
      <c r="BG442" s="65"/>
      <c r="BH442" s="65"/>
      <c r="BI442" s="65"/>
      <c r="BJ442" s="65"/>
      <c r="BK442" s="65">
        <v>0</v>
      </c>
      <c r="BL442" s="65">
        <v>0</v>
      </c>
      <c r="BM442" s="65">
        <v>0</v>
      </c>
      <c r="BN442" s="65">
        <f t="shared" si="2257"/>
        <v>0</v>
      </c>
      <c r="BO442" s="67">
        <f t="shared" si="2258"/>
        <v>0</v>
      </c>
      <c r="BP442" s="65">
        <f t="shared" si="2259"/>
        <v>0</v>
      </c>
      <c r="BQ442" s="65">
        <f t="shared" si="2260"/>
        <v>0</v>
      </c>
      <c r="BR442" s="65">
        <f t="shared" si="2261"/>
        <v>7277.6</v>
      </c>
      <c r="BS442" s="65">
        <f t="shared" si="2262"/>
        <v>7277.6</v>
      </c>
      <c r="BT442" s="65">
        <f t="shared" si="2263"/>
        <v>0</v>
      </c>
      <c r="BU442" s="65">
        <f t="shared" si="2264"/>
        <v>0</v>
      </c>
      <c r="BV442" s="65">
        <f t="shared" si="2265"/>
        <v>7277.6</v>
      </c>
      <c r="BW442" s="65">
        <f t="shared" si="2266"/>
        <v>7277.6</v>
      </c>
      <c r="BX442" s="6"/>
      <c r="BY442" s="6"/>
      <c r="BZ442" s="6"/>
      <c r="CA442" s="6"/>
      <c r="CB442" s="6"/>
      <c r="CC442" s="6"/>
      <c r="CD442" s="6"/>
      <c r="CE442" s="6"/>
      <c r="CF442" s="6"/>
      <c r="CG442" s="6"/>
    </row>
    <row r="443" spans="1:85" ht="15.75" customHeight="1">
      <c r="A443" s="52" t="s">
        <v>555</v>
      </c>
      <c r="B443" s="54"/>
      <c r="C443" s="104" t="s">
        <v>113</v>
      </c>
      <c r="D443" s="105" t="s">
        <v>556</v>
      </c>
      <c r="E443" s="99">
        <v>0</v>
      </c>
      <c r="F443" s="99">
        <v>0</v>
      </c>
      <c r="G443" s="58">
        <f t="shared" si="2244"/>
        <v>0</v>
      </c>
      <c r="H443" s="99">
        <v>0</v>
      </c>
      <c r="I443" s="59">
        <f t="shared" si="2239"/>
        <v>0</v>
      </c>
      <c r="J443" s="59">
        <f t="shared" si="2240"/>
        <v>0</v>
      </c>
      <c r="K443" s="74">
        <v>0</v>
      </c>
      <c r="L443" s="74">
        <v>0</v>
      </c>
      <c r="M443" s="74">
        <v>0</v>
      </c>
      <c r="N443" s="74">
        <v>7999</v>
      </c>
      <c r="O443" s="61">
        <f t="shared" ref="O443:Q443" si="2315">AA443+AD443+AG443+AJ443+AM443+AP443+AS443+AV443+AY443+BB443+BE443+BH443</f>
        <v>0</v>
      </c>
      <c r="P443" s="61">
        <f t="shared" si="2315"/>
        <v>0</v>
      </c>
      <c r="Q443" s="170">
        <f t="shared" si="2315"/>
        <v>7989.01</v>
      </c>
      <c r="R443" s="61">
        <f t="shared" ref="R443:T443" si="2316">IF(BK443=0,SUM(AA443+AD443+AG443+AJ443+AM443+AP443+AS443+AV443+AY443+BB443+BE443+BH443),BK443)</f>
        <v>0</v>
      </c>
      <c r="S443" s="61">
        <f t="shared" si="2316"/>
        <v>0</v>
      </c>
      <c r="T443" s="61">
        <f t="shared" si="2316"/>
        <v>7989.01</v>
      </c>
      <c r="U443" s="63">
        <f t="shared" si="2247"/>
        <v>0</v>
      </c>
      <c r="V443" s="63">
        <f t="shared" si="2248"/>
        <v>0</v>
      </c>
      <c r="W443" s="62">
        <f t="shared" si="2249"/>
        <v>9.9899999999997817</v>
      </c>
      <c r="X443" s="64">
        <f t="shared" ref="X443:Y443" si="2317">IF(O443&gt;0,O443/K443,0)</f>
        <v>0</v>
      </c>
      <c r="Y443" s="64">
        <f t="shared" si="2317"/>
        <v>0</v>
      </c>
      <c r="Z443" s="64">
        <f t="shared" si="1658"/>
        <v>0.99875109388673589</v>
      </c>
      <c r="AA443" s="65"/>
      <c r="AB443" s="65"/>
      <c r="AC443" s="65"/>
      <c r="AD443" s="65"/>
      <c r="AE443" s="66"/>
      <c r="AF443" s="113">
        <v>4699.03</v>
      </c>
      <c r="AG443" s="66"/>
      <c r="AH443" s="66"/>
      <c r="AI443" s="100">
        <v>3289.98</v>
      </c>
      <c r="AJ443" s="65"/>
      <c r="AK443" s="65"/>
      <c r="AL443" s="65"/>
      <c r="AM443" s="65"/>
      <c r="AN443" s="65"/>
      <c r="AO443" s="65"/>
      <c r="AP443" s="65"/>
      <c r="AQ443" s="65"/>
      <c r="AR443" s="65"/>
      <c r="AS443" s="65"/>
      <c r="AT443" s="65"/>
      <c r="AU443" s="65"/>
      <c r="AV443" s="65"/>
      <c r="AW443" s="65"/>
      <c r="AX443" s="65"/>
      <c r="AY443" s="65"/>
      <c r="AZ443" s="65"/>
      <c r="BA443" s="65"/>
      <c r="BB443" s="65"/>
      <c r="BC443" s="65"/>
      <c r="BD443" s="65"/>
      <c r="BE443" s="65"/>
      <c r="BF443" s="65"/>
      <c r="BG443" s="65"/>
      <c r="BH443" s="65"/>
      <c r="BI443" s="65"/>
      <c r="BJ443" s="65"/>
      <c r="BK443" s="65">
        <v>0</v>
      </c>
      <c r="BL443" s="65">
        <v>0</v>
      </c>
      <c r="BM443" s="65">
        <v>0</v>
      </c>
      <c r="BN443" s="65">
        <f t="shared" si="2257"/>
        <v>0</v>
      </c>
      <c r="BO443" s="67">
        <f t="shared" si="2258"/>
        <v>7989.01</v>
      </c>
      <c r="BP443" s="65">
        <f t="shared" si="2259"/>
        <v>7989.01</v>
      </c>
      <c r="BQ443" s="65">
        <f t="shared" si="2260"/>
        <v>0</v>
      </c>
      <c r="BR443" s="65">
        <f t="shared" si="2261"/>
        <v>9.9899999999997817</v>
      </c>
      <c r="BS443" s="65">
        <f t="shared" si="2262"/>
        <v>9.9899999999997817</v>
      </c>
      <c r="BT443" s="65">
        <f t="shared" si="2263"/>
        <v>0</v>
      </c>
      <c r="BU443" s="65">
        <f t="shared" si="2264"/>
        <v>7989.01</v>
      </c>
      <c r="BV443" s="65">
        <f t="shared" si="2265"/>
        <v>9.9899999999997817</v>
      </c>
      <c r="BW443" s="65">
        <f t="shared" si="2266"/>
        <v>7999</v>
      </c>
      <c r="BX443" s="6"/>
      <c r="BY443" s="6"/>
      <c r="BZ443" s="6"/>
      <c r="CA443" s="6"/>
      <c r="CB443" s="6"/>
      <c r="CC443" s="6"/>
      <c r="CD443" s="6"/>
      <c r="CE443" s="6"/>
      <c r="CF443" s="6"/>
      <c r="CG443" s="6"/>
    </row>
    <row r="444" spans="1:85" ht="15.75" customHeight="1">
      <c r="A444" s="52" t="s">
        <v>557</v>
      </c>
      <c r="B444" s="54"/>
      <c r="C444" s="104" t="s">
        <v>95</v>
      </c>
      <c r="D444" s="105" t="s">
        <v>558</v>
      </c>
      <c r="E444" s="99">
        <v>0</v>
      </c>
      <c r="F444" s="99">
        <v>0</v>
      </c>
      <c r="G444" s="58">
        <f t="shared" si="2244"/>
        <v>0</v>
      </c>
      <c r="H444" s="99">
        <v>0</v>
      </c>
      <c r="I444" s="59">
        <f t="shared" si="2239"/>
        <v>0</v>
      </c>
      <c r="J444" s="59">
        <f t="shared" si="2240"/>
        <v>0</v>
      </c>
      <c r="K444" s="74">
        <v>0</v>
      </c>
      <c r="L444" s="74">
        <v>0</v>
      </c>
      <c r="M444" s="74">
        <v>0</v>
      </c>
      <c r="N444" s="74">
        <f>259.8-0.2</f>
        <v>259.60000000000002</v>
      </c>
      <c r="O444" s="61">
        <f t="shared" ref="O444:Q444" si="2318">AA444+AD444+AG444+AJ444+AM444+AP444+AS444+AV444+AY444+BB444+BE444+BH444</f>
        <v>0</v>
      </c>
      <c r="P444" s="61">
        <f t="shared" si="2318"/>
        <v>0</v>
      </c>
      <c r="Q444" s="61">
        <f t="shared" si="2318"/>
        <v>259.60000000000002</v>
      </c>
      <c r="R444" s="61">
        <f t="shared" ref="R444:T444" si="2319">IF(BK444=0,SUM(AA444+AD444+AG444+AJ444+AM444+AP444+AS444+AV444+AY444+BB444+BE444+BH444),BK444)</f>
        <v>0</v>
      </c>
      <c r="S444" s="61">
        <f t="shared" si="2319"/>
        <v>0</v>
      </c>
      <c r="T444" s="61">
        <f t="shared" si="2319"/>
        <v>259.60000000000002</v>
      </c>
      <c r="U444" s="63">
        <f t="shared" si="2247"/>
        <v>0</v>
      </c>
      <c r="V444" s="63">
        <f t="shared" si="2248"/>
        <v>0</v>
      </c>
      <c r="W444" s="63">
        <f t="shared" si="2249"/>
        <v>0</v>
      </c>
      <c r="X444" s="64">
        <f t="shared" ref="X444:Y444" si="2320">IF(O444&gt;0,O444/K444,0)</f>
        <v>0</v>
      </c>
      <c r="Y444" s="64">
        <f t="shared" si="2320"/>
        <v>0</v>
      </c>
      <c r="Z444" s="64">
        <f t="shared" si="1658"/>
        <v>1</v>
      </c>
      <c r="AA444" s="65"/>
      <c r="AB444" s="65"/>
      <c r="AC444" s="65"/>
      <c r="AD444" s="65"/>
      <c r="AE444" s="66"/>
      <c r="AF444" s="66"/>
      <c r="AG444" s="66"/>
      <c r="AH444" s="66"/>
      <c r="AI444" s="65"/>
      <c r="AJ444" s="65"/>
      <c r="AK444" s="65"/>
      <c r="AL444" s="65"/>
      <c r="AM444" s="65"/>
      <c r="AN444" s="65"/>
      <c r="AO444" s="65">
        <f>259.6</f>
        <v>259.60000000000002</v>
      </c>
      <c r="AP444" s="65"/>
      <c r="AQ444" s="65"/>
      <c r="AR444" s="65"/>
      <c r="AS444" s="65"/>
      <c r="AT444" s="65"/>
      <c r="AU444" s="65"/>
      <c r="AV444" s="65"/>
      <c r="AW444" s="65"/>
      <c r="AX444" s="65"/>
      <c r="AY444" s="65"/>
      <c r="AZ444" s="65"/>
      <c r="BA444" s="65"/>
      <c r="BB444" s="65"/>
      <c r="BC444" s="65"/>
      <c r="BD444" s="65"/>
      <c r="BE444" s="65"/>
      <c r="BF444" s="65"/>
      <c r="BG444" s="65"/>
      <c r="BH444" s="65"/>
      <c r="BI444" s="65"/>
      <c r="BJ444" s="65"/>
      <c r="BK444" s="65">
        <v>0</v>
      </c>
      <c r="BL444" s="65">
        <v>0</v>
      </c>
      <c r="BM444" s="65">
        <v>0</v>
      </c>
      <c r="BN444" s="65">
        <f t="shared" si="2257"/>
        <v>0</v>
      </c>
      <c r="BO444" s="67">
        <f t="shared" si="2258"/>
        <v>259.60000000000002</v>
      </c>
      <c r="BP444" s="65">
        <f t="shared" si="2259"/>
        <v>259.60000000000002</v>
      </c>
      <c r="BQ444" s="65">
        <f t="shared" si="2260"/>
        <v>0</v>
      </c>
      <c r="BR444" s="65">
        <f t="shared" si="2261"/>
        <v>0</v>
      </c>
      <c r="BS444" s="65">
        <f t="shared" si="2262"/>
        <v>0</v>
      </c>
      <c r="BT444" s="65">
        <f t="shared" si="2263"/>
        <v>0</v>
      </c>
      <c r="BU444" s="65">
        <f t="shared" si="2264"/>
        <v>259.60000000000002</v>
      </c>
      <c r="BV444" s="65">
        <f t="shared" si="2265"/>
        <v>0</v>
      </c>
      <c r="BW444" s="65">
        <f t="shared" si="2266"/>
        <v>259.60000000000002</v>
      </c>
      <c r="BX444" s="6"/>
      <c r="BY444" s="6"/>
      <c r="BZ444" s="6"/>
      <c r="CA444" s="6"/>
      <c r="CB444" s="6"/>
      <c r="CC444" s="6"/>
      <c r="CD444" s="6"/>
      <c r="CE444" s="6"/>
      <c r="CF444" s="6"/>
      <c r="CG444" s="6"/>
    </row>
    <row r="445" spans="1:85" ht="15.75" customHeight="1">
      <c r="A445" s="52" t="s">
        <v>559</v>
      </c>
      <c r="B445" s="54"/>
      <c r="C445" s="104" t="s">
        <v>95</v>
      </c>
      <c r="D445" s="105" t="s">
        <v>560</v>
      </c>
      <c r="E445" s="99">
        <v>0</v>
      </c>
      <c r="F445" s="99">
        <v>0</v>
      </c>
      <c r="G445" s="58">
        <f t="shared" si="2244"/>
        <v>0</v>
      </c>
      <c r="H445" s="99">
        <v>0</v>
      </c>
      <c r="I445" s="59">
        <f t="shared" si="2239"/>
        <v>0</v>
      </c>
      <c r="J445" s="59">
        <f t="shared" si="2240"/>
        <v>0</v>
      </c>
      <c r="K445" s="74">
        <v>0</v>
      </c>
      <c r="L445" s="74">
        <v>0</v>
      </c>
      <c r="M445" s="74">
        <v>0</v>
      </c>
      <c r="N445" s="74">
        <v>2920</v>
      </c>
      <c r="O445" s="61">
        <f t="shared" ref="O445:Q445" si="2321">AA445+AD445+AG445+AJ445+AM445+AP445+AS445+AV445+AY445+BB445+BE445+BH445</f>
        <v>0</v>
      </c>
      <c r="P445" s="61">
        <f t="shared" si="2321"/>
        <v>0</v>
      </c>
      <c r="Q445" s="116">
        <f t="shared" si="2321"/>
        <v>2920</v>
      </c>
      <c r="R445" s="61">
        <f t="shared" ref="R445:T445" si="2322">IF(BK445=0,SUM(AA445+AD445+AG445+AJ445+AM445+AP445+AS445+AV445+AY445+BB445+BE445+BH445),BK445)</f>
        <v>0</v>
      </c>
      <c r="S445" s="61">
        <f t="shared" si="2322"/>
        <v>0</v>
      </c>
      <c r="T445" s="61">
        <f t="shared" si="2322"/>
        <v>2920</v>
      </c>
      <c r="U445" s="63">
        <f t="shared" si="2247"/>
        <v>0</v>
      </c>
      <c r="V445" s="63">
        <f t="shared" si="2248"/>
        <v>0</v>
      </c>
      <c r="W445" s="63">
        <f t="shared" si="2249"/>
        <v>0</v>
      </c>
      <c r="X445" s="64">
        <f t="shared" ref="X445:Y445" si="2323">IF(O445&gt;0,O445/K445,0)</f>
        <v>0</v>
      </c>
      <c r="Y445" s="64">
        <f t="shared" si="2323"/>
        <v>0</v>
      </c>
      <c r="Z445" s="64">
        <f t="shared" si="1658"/>
        <v>1</v>
      </c>
      <c r="AA445" s="65"/>
      <c r="AB445" s="65"/>
      <c r="AC445" s="65"/>
      <c r="AD445" s="65"/>
      <c r="AE445" s="66"/>
      <c r="AF445" s="66"/>
      <c r="AG445" s="66"/>
      <c r="AH445" s="66"/>
      <c r="AI445" s="65"/>
      <c r="AJ445" s="65"/>
      <c r="AK445" s="65"/>
      <c r="AL445" s="100">
        <v>2920</v>
      </c>
      <c r="AM445" s="65"/>
      <c r="AN445" s="65"/>
      <c r="AO445" s="65"/>
      <c r="AP445" s="65"/>
      <c r="AQ445" s="65"/>
      <c r="AR445" s="65"/>
      <c r="AS445" s="65"/>
      <c r="AT445" s="65"/>
      <c r="AU445" s="65"/>
      <c r="AV445" s="65"/>
      <c r="AW445" s="65"/>
      <c r="AX445" s="65"/>
      <c r="AY445" s="65"/>
      <c r="AZ445" s="65"/>
      <c r="BA445" s="65"/>
      <c r="BB445" s="65"/>
      <c r="BC445" s="65"/>
      <c r="BD445" s="65"/>
      <c r="BE445" s="65"/>
      <c r="BF445" s="65"/>
      <c r="BG445" s="65"/>
      <c r="BH445" s="65"/>
      <c r="BI445" s="65"/>
      <c r="BJ445" s="65"/>
      <c r="BK445" s="65">
        <v>0</v>
      </c>
      <c r="BL445" s="65">
        <v>0</v>
      </c>
      <c r="BM445" s="65">
        <v>0</v>
      </c>
      <c r="BN445" s="65">
        <f t="shared" si="2257"/>
        <v>0</v>
      </c>
      <c r="BO445" s="67">
        <f t="shared" si="2258"/>
        <v>2920</v>
      </c>
      <c r="BP445" s="65">
        <f t="shared" si="2259"/>
        <v>2920</v>
      </c>
      <c r="BQ445" s="65">
        <f t="shared" si="2260"/>
        <v>0</v>
      </c>
      <c r="BR445" s="65">
        <f t="shared" si="2261"/>
        <v>0</v>
      </c>
      <c r="BS445" s="65">
        <f t="shared" si="2262"/>
        <v>0</v>
      </c>
      <c r="BT445" s="65">
        <f t="shared" si="2263"/>
        <v>0</v>
      </c>
      <c r="BU445" s="65">
        <f t="shared" si="2264"/>
        <v>2920</v>
      </c>
      <c r="BV445" s="65">
        <f t="shared" si="2265"/>
        <v>0</v>
      </c>
      <c r="BW445" s="65">
        <f t="shared" si="2266"/>
        <v>2920</v>
      </c>
      <c r="BX445" s="6"/>
      <c r="BY445" s="6"/>
      <c r="BZ445" s="6"/>
      <c r="CA445" s="6"/>
      <c r="CB445" s="6"/>
      <c r="CC445" s="6"/>
      <c r="CD445" s="6"/>
      <c r="CE445" s="6"/>
      <c r="CF445" s="6"/>
      <c r="CG445" s="6"/>
    </row>
    <row r="446" spans="1:85" ht="15.75" customHeight="1">
      <c r="A446" s="52" t="s">
        <v>561</v>
      </c>
      <c r="B446" s="54"/>
      <c r="C446" s="104" t="s">
        <v>95</v>
      </c>
      <c r="D446" s="105" t="s">
        <v>562</v>
      </c>
      <c r="E446" s="99">
        <v>0</v>
      </c>
      <c r="F446" s="99">
        <v>0</v>
      </c>
      <c r="G446" s="58">
        <f t="shared" si="2244"/>
        <v>0</v>
      </c>
      <c r="H446" s="99">
        <v>0</v>
      </c>
      <c r="I446" s="59">
        <f t="shared" si="2239"/>
        <v>0</v>
      </c>
      <c r="J446" s="59">
        <f t="shared" si="2240"/>
        <v>0</v>
      </c>
      <c r="K446" s="74">
        <v>0</v>
      </c>
      <c r="L446" s="74">
        <v>0</v>
      </c>
      <c r="M446" s="74">
        <v>0</v>
      </c>
      <c r="N446" s="74">
        <v>824</v>
      </c>
      <c r="O446" s="61">
        <f t="shared" ref="O446:Q446" si="2324">AA446+AD446+AG446+AJ446+AM446+AP446+AS446+AV446+AY446+BB446+BE446+BH446</f>
        <v>0</v>
      </c>
      <c r="P446" s="61">
        <f t="shared" si="2324"/>
        <v>0</v>
      </c>
      <c r="Q446" s="61">
        <f t="shared" si="2324"/>
        <v>824</v>
      </c>
      <c r="R446" s="61">
        <f t="shared" ref="R446:T446" si="2325">IF(BK446=0,SUM(AA446+AD446+AG446+AJ446+AM446+AP446+AS446+AV446+AY446+BB446+BE446+BH446),BK446)</f>
        <v>0</v>
      </c>
      <c r="S446" s="61">
        <f t="shared" si="2325"/>
        <v>0</v>
      </c>
      <c r="T446" s="61">
        <f t="shared" si="2325"/>
        <v>824</v>
      </c>
      <c r="U446" s="63">
        <f t="shared" si="2247"/>
        <v>0</v>
      </c>
      <c r="V446" s="63">
        <f t="shared" si="2248"/>
        <v>0</v>
      </c>
      <c r="W446" s="63">
        <f t="shared" si="2249"/>
        <v>0</v>
      </c>
      <c r="X446" s="64">
        <f t="shared" ref="X446:Y446" si="2326">IF(O446&gt;0,O446/K446,0)</f>
        <v>0</v>
      </c>
      <c r="Y446" s="64">
        <f t="shared" si="2326"/>
        <v>0</v>
      </c>
      <c r="Z446" s="64">
        <f t="shared" si="1658"/>
        <v>1</v>
      </c>
      <c r="AA446" s="65"/>
      <c r="AB446" s="65"/>
      <c r="AC446" s="65"/>
      <c r="AD446" s="65"/>
      <c r="AE446" s="66"/>
      <c r="AF446" s="66"/>
      <c r="AG446" s="66"/>
      <c r="AH446" s="66"/>
      <c r="AI446" s="65"/>
      <c r="AJ446" s="65"/>
      <c r="AK446" s="65"/>
      <c r="AL446" s="65"/>
      <c r="AM446" s="65"/>
      <c r="AN446" s="65"/>
      <c r="AO446" s="65"/>
      <c r="AP446" s="65"/>
      <c r="AQ446" s="65"/>
      <c r="AR446" s="65">
        <f>824</f>
        <v>824</v>
      </c>
      <c r="AS446" s="65"/>
      <c r="AT446" s="65"/>
      <c r="AU446" s="65"/>
      <c r="AV446" s="65"/>
      <c r="AW446" s="65"/>
      <c r="AX446" s="65"/>
      <c r="AY446" s="65"/>
      <c r="AZ446" s="65"/>
      <c r="BA446" s="65"/>
      <c r="BB446" s="65"/>
      <c r="BC446" s="65"/>
      <c r="BD446" s="65"/>
      <c r="BE446" s="65"/>
      <c r="BF446" s="65"/>
      <c r="BG446" s="65"/>
      <c r="BH446" s="65"/>
      <c r="BI446" s="65"/>
      <c r="BJ446" s="65"/>
      <c r="BK446" s="65">
        <v>0</v>
      </c>
      <c r="BL446" s="65">
        <v>0</v>
      </c>
      <c r="BM446" s="65">
        <v>0</v>
      </c>
      <c r="BN446" s="65">
        <f t="shared" si="2257"/>
        <v>0</v>
      </c>
      <c r="BO446" s="67">
        <f t="shared" si="2258"/>
        <v>824</v>
      </c>
      <c r="BP446" s="65">
        <f t="shared" si="2259"/>
        <v>824</v>
      </c>
      <c r="BQ446" s="65">
        <f t="shared" si="2260"/>
        <v>0</v>
      </c>
      <c r="BR446" s="65">
        <f t="shared" si="2261"/>
        <v>0</v>
      </c>
      <c r="BS446" s="65">
        <f t="shared" si="2262"/>
        <v>0</v>
      </c>
      <c r="BT446" s="65">
        <f t="shared" si="2263"/>
        <v>0</v>
      </c>
      <c r="BU446" s="65">
        <f t="shared" si="2264"/>
        <v>824</v>
      </c>
      <c r="BV446" s="65">
        <f t="shared" si="2265"/>
        <v>0</v>
      </c>
      <c r="BW446" s="65">
        <f t="shared" si="2266"/>
        <v>824</v>
      </c>
      <c r="BX446" s="6"/>
      <c r="BY446" s="6"/>
      <c r="BZ446" s="6"/>
      <c r="CA446" s="6"/>
      <c r="CB446" s="6"/>
      <c r="CC446" s="6"/>
      <c r="CD446" s="6"/>
      <c r="CE446" s="6"/>
      <c r="CF446" s="6"/>
      <c r="CG446" s="6"/>
    </row>
    <row r="447" spans="1:85" ht="15.75" customHeight="1">
      <c r="A447" s="52" t="s">
        <v>563</v>
      </c>
      <c r="B447" s="54"/>
      <c r="C447" s="104" t="s">
        <v>95</v>
      </c>
      <c r="D447" s="105" t="s">
        <v>564</v>
      </c>
      <c r="E447" s="99">
        <v>0</v>
      </c>
      <c r="F447" s="99">
        <v>0</v>
      </c>
      <c r="G447" s="58">
        <f t="shared" si="2244"/>
        <v>0</v>
      </c>
      <c r="H447" s="99">
        <v>0</v>
      </c>
      <c r="I447" s="59">
        <f t="shared" si="2239"/>
        <v>0</v>
      </c>
      <c r="J447" s="59">
        <f t="shared" si="2240"/>
        <v>0</v>
      </c>
      <c r="K447" s="74">
        <v>0</v>
      </c>
      <c r="L447" s="74">
        <v>0</v>
      </c>
      <c r="M447" s="74">
        <v>0</v>
      </c>
      <c r="N447" s="74">
        <v>89.4</v>
      </c>
      <c r="O447" s="61">
        <f t="shared" ref="O447:Q447" si="2327">AA447+AD447+AG447+AJ447+AM447+AP447+AS447+AV447+AY447+BB447+BE447+BH447</f>
        <v>0</v>
      </c>
      <c r="P447" s="61">
        <f t="shared" si="2327"/>
        <v>0</v>
      </c>
      <c r="Q447" s="61">
        <f t="shared" si="2327"/>
        <v>89.4</v>
      </c>
      <c r="R447" s="61">
        <f t="shared" ref="R447:T447" si="2328">IF(BK447=0,SUM(AA447+AD447+AG447+AJ447+AM447+AP447+AS447+AV447+AY447+BB447+BE447+BH447),BK447)</f>
        <v>0</v>
      </c>
      <c r="S447" s="61">
        <f t="shared" si="2328"/>
        <v>0</v>
      </c>
      <c r="T447" s="61">
        <f t="shared" si="2328"/>
        <v>89.4</v>
      </c>
      <c r="U447" s="63">
        <f t="shared" si="2247"/>
        <v>0</v>
      </c>
      <c r="V447" s="63">
        <f t="shared" si="2248"/>
        <v>0</v>
      </c>
      <c r="W447" s="63">
        <f t="shared" si="2249"/>
        <v>0</v>
      </c>
      <c r="X447" s="64">
        <f t="shared" ref="X447:Y447" si="2329">IF(O447&gt;0,O447/K447,0)</f>
        <v>0</v>
      </c>
      <c r="Y447" s="64">
        <f t="shared" si="2329"/>
        <v>0</v>
      </c>
      <c r="Z447" s="64">
        <f t="shared" si="1658"/>
        <v>1</v>
      </c>
      <c r="AA447" s="65"/>
      <c r="AB447" s="65"/>
      <c r="AC447" s="65"/>
      <c r="AD447" s="65"/>
      <c r="AE447" s="66"/>
      <c r="AF447" s="66"/>
      <c r="AG447" s="66"/>
      <c r="AH447" s="66"/>
      <c r="AI447" s="65"/>
      <c r="AJ447" s="65"/>
      <c r="AK447" s="65"/>
      <c r="AL447" s="65"/>
      <c r="AM447" s="65"/>
      <c r="AN447" s="65"/>
      <c r="AO447" s="65"/>
      <c r="AP447" s="65"/>
      <c r="AQ447" s="65"/>
      <c r="AR447" s="100">
        <v>89.4</v>
      </c>
      <c r="AS447" s="65"/>
      <c r="AT447" s="65"/>
      <c r="AU447" s="65"/>
      <c r="AV447" s="65"/>
      <c r="AW447" s="65"/>
      <c r="AX447" s="65"/>
      <c r="AY447" s="65"/>
      <c r="AZ447" s="65"/>
      <c r="BA447" s="65"/>
      <c r="BB447" s="65"/>
      <c r="BC447" s="65"/>
      <c r="BD447" s="65"/>
      <c r="BE447" s="65"/>
      <c r="BF447" s="65"/>
      <c r="BG447" s="65"/>
      <c r="BH447" s="65"/>
      <c r="BI447" s="65"/>
      <c r="BJ447" s="65"/>
      <c r="BK447" s="65">
        <v>0</v>
      </c>
      <c r="BL447" s="65">
        <v>0</v>
      </c>
      <c r="BM447" s="65">
        <v>0</v>
      </c>
      <c r="BN447" s="65">
        <f t="shared" si="2257"/>
        <v>0</v>
      </c>
      <c r="BO447" s="67">
        <f t="shared" si="2258"/>
        <v>89.4</v>
      </c>
      <c r="BP447" s="65">
        <f t="shared" si="2259"/>
        <v>89.4</v>
      </c>
      <c r="BQ447" s="65">
        <f t="shared" si="2260"/>
        <v>0</v>
      </c>
      <c r="BR447" s="65">
        <f t="shared" si="2261"/>
        <v>0</v>
      </c>
      <c r="BS447" s="65">
        <f t="shared" si="2262"/>
        <v>0</v>
      </c>
      <c r="BT447" s="65">
        <f t="shared" si="2263"/>
        <v>0</v>
      </c>
      <c r="BU447" s="65">
        <f t="shared" si="2264"/>
        <v>89.4</v>
      </c>
      <c r="BV447" s="65">
        <f t="shared" si="2265"/>
        <v>0</v>
      </c>
      <c r="BW447" s="65">
        <f t="shared" si="2266"/>
        <v>89.4</v>
      </c>
      <c r="BX447" s="6"/>
      <c r="BY447" s="6"/>
      <c r="BZ447" s="6"/>
      <c r="CA447" s="6"/>
      <c r="CB447" s="6"/>
      <c r="CC447" s="6"/>
      <c r="CD447" s="6"/>
      <c r="CE447" s="6"/>
      <c r="CF447" s="6"/>
      <c r="CG447" s="6"/>
    </row>
    <row r="448" spans="1:85" ht="15.75" customHeight="1">
      <c r="A448" s="52" t="s">
        <v>565</v>
      </c>
      <c r="B448" s="54"/>
      <c r="C448" s="104" t="s">
        <v>95</v>
      </c>
      <c r="D448" s="105" t="s">
        <v>566</v>
      </c>
      <c r="E448" s="99">
        <v>0</v>
      </c>
      <c r="F448" s="99">
        <v>0</v>
      </c>
      <c r="G448" s="58">
        <f t="shared" si="2244"/>
        <v>0</v>
      </c>
      <c r="H448" s="99">
        <v>0</v>
      </c>
      <c r="I448" s="59">
        <f t="shared" si="2239"/>
        <v>0</v>
      </c>
      <c r="J448" s="59">
        <f t="shared" si="2240"/>
        <v>0</v>
      </c>
      <c r="K448" s="74">
        <v>0</v>
      </c>
      <c r="L448" s="74">
        <v>0</v>
      </c>
      <c r="M448" s="74">
        <v>0</v>
      </c>
      <c r="N448" s="74">
        <v>14250</v>
      </c>
      <c r="O448" s="61">
        <f t="shared" ref="O448:Q448" si="2330">AA448+AD448+AG448+AJ448+AM448+AP448+AS448+AV448+AY448+BB448+BE448+BH448</f>
        <v>0</v>
      </c>
      <c r="P448" s="61">
        <f t="shared" si="2330"/>
        <v>0</v>
      </c>
      <c r="Q448" s="61">
        <f t="shared" si="2330"/>
        <v>14250</v>
      </c>
      <c r="R448" s="61">
        <f t="shared" ref="R448:T448" si="2331">IF(BK448=0,SUM(AA448+AD448+AG448+AJ448+AM448+AP448+AS448+AV448+AY448+BB448+BE448+BH448),BK448)</f>
        <v>0</v>
      </c>
      <c r="S448" s="61">
        <f t="shared" si="2331"/>
        <v>0</v>
      </c>
      <c r="T448" s="61">
        <f t="shared" si="2331"/>
        <v>14250</v>
      </c>
      <c r="U448" s="63">
        <f t="shared" si="2247"/>
        <v>0</v>
      </c>
      <c r="V448" s="63">
        <f t="shared" si="2248"/>
        <v>0</v>
      </c>
      <c r="W448" s="63">
        <f t="shared" si="2249"/>
        <v>0</v>
      </c>
      <c r="X448" s="64">
        <f t="shared" ref="X448:Y448" si="2332">IF(O448&gt;0,O448/K448,0)</f>
        <v>0</v>
      </c>
      <c r="Y448" s="64">
        <f t="shared" si="2332"/>
        <v>0</v>
      </c>
      <c r="Z448" s="64">
        <f t="shared" si="1658"/>
        <v>1</v>
      </c>
      <c r="AA448" s="65"/>
      <c r="AB448" s="65"/>
      <c r="AC448" s="65"/>
      <c r="AD448" s="65"/>
      <c r="AE448" s="66"/>
      <c r="AF448" s="66"/>
      <c r="AG448" s="66"/>
      <c r="AH448" s="66"/>
      <c r="AI448" s="65"/>
      <c r="AJ448" s="65"/>
      <c r="AK448" s="65"/>
      <c r="AL448" s="65"/>
      <c r="AM448" s="65"/>
      <c r="AN448" s="65"/>
      <c r="AO448" s="65">
        <f>8850+5400</f>
        <v>14250</v>
      </c>
      <c r="AP448" s="65"/>
      <c r="AQ448" s="65"/>
      <c r="AR448" s="65"/>
      <c r="AS448" s="65"/>
      <c r="AT448" s="65"/>
      <c r="AU448" s="65"/>
      <c r="AV448" s="65"/>
      <c r="AW448" s="65"/>
      <c r="AX448" s="65"/>
      <c r="AY448" s="65"/>
      <c r="AZ448" s="65"/>
      <c r="BA448" s="65"/>
      <c r="BB448" s="65"/>
      <c r="BC448" s="65"/>
      <c r="BD448" s="65"/>
      <c r="BE448" s="65"/>
      <c r="BF448" s="65"/>
      <c r="BG448" s="65"/>
      <c r="BH448" s="65"/>
      <c r="BI448" s="65"/>
      <c r="BJ448" s="65"/>
      <c r="BK448" s="65">
        <v>0</v>
      </c>
      <c r="BL448" s="65">
        <v>0</v>
      </c>
      <c r="BM448" s="65">
        <v>0</v>
      </c>
      <c r="BN448" s="65">
        <f t="shared" si="2257"/>
        <v>0</v>
      </c>
      <c r="BO448" s="67">
        <f t="shared" si="2258"/>
        <v>14250</v>
      </c>
      <c r="BP448" s="65">
        <f t="shared" si="2259"/>
        <v>14250</v>
      </c>
      <c r="BQ448" s="65">
        <f t="shared" si="2260"/>
        <v>0</v>
      </c>
      <c r="BR448" s="65">
        <f t="shared" si="2261"/>
        <v>0</v>
      </c>
      <c r="BS448" s="65">
        <f t="shared" si="2262"/>
        <v>0</v>
      </c>
      <c r="BT448" s="65">
        <f t="shared" si="2263"/>
        <v>0</v>
      </c>
      <c r="BU448" s="65">
        <f t="shared" si="2264"/>
        <v>14250</v>
      </c>
      <c r="BV448" s="65">
        <f t="shared" si="2265"/>
        <v>0</v>
      </c>
      <c r="BW448" s="65">
        <f t="shared" si="2266"/>
        <v>14250</v>
      </c>
      <c r="BX448" s="6"/>
      <c r="BY448" s="6"/>
      <c r="BZ448" s="6"/>
      <c r="CA448" s="6"/>
      <c r="CB448" s="6"/>
      <c r="CC448" s="6"/>
      <c r="CD448" s="6"/>
      <c r="CE448" s="6"/>
      <c r="CF448" s="6"/>
      <c r="CG448" s="6"/>
    </row>
    <row r="449" spans="1:85" ht="15.75" customHeight="1">
      <c r="A449" s="52" t="s">
        <v>567</v>
      </c>
      <c r="B449" s="54"/>
      <c r="C449" s="104" t="s">
        <v>95</v>
      </c>
      <c r="D449" s="105" t="s">
        <v>568</v>
      </c>
      <c r="E449" s="99">
        <v>0</v>
      </c>
      <c r="F449" s="99">
        <v>0</v>
      </c>
      <c r="G449" s="58">
        <f t="shared" si="2244"/>
        <v>0</v>
      </c>
      <c r="H449" s="99">
        <v>0</v>
      </c>
      <c r="I449" s="59">
        <f t="shared" si="2239"/>
        <v>0</v>
      </c>
      <c r="J449" s="59">
        <f t="shared" si="2240"/>
        <v>0</v>
      </c>
      <c r="K449" s="74">
        <v>0</v>
      </c>
      <c r="L449" s="74">
        <v>0</v>
      </c>
      <c r="M449" s="74">
        <v>0</v>
      </c>
      <c r="N449" s="74">
        <v>441.41</v>
      </c>
      <c r="O449" s="61">
        <f t="shared" ref="O449:Q449" si="2333">AA449+AD449+AG449+AJ449+AM449+AP449+AS449+AV449+AY449+BB449+BE449+BH449</f>
        <v>0</v>
      </c>
      <c r="P449" s="61">
        <f t="shared" si="2333"/>
        <v>0</v>
      </c>
      <c r="Q449" s="61">
        <f t="shared" si="2333"/>
        <v>441.41</v>
      </c>
      <c r="R449" s="61">
        <f t="shared" ref="R449:T449" si="2334">IF(BK449=0,SUM(AA449+AD449+AG449+AJ449+AM449+AP449+AS449+AV449+AY449+BB449+BE449+BH449),BK449)</f>
        <v>0</v>
      </c>
      <c r="S449" s="61">
        <f t="shared" si="2334"/>
        <v>0</v>
      </c>
      <c r="T449" s="61">
        <f t="shared" si="2334"/>
        <v>441.41</v>
      </c>
      <c r="U449" s="63">
        <f t="shared" si="2247"/>
        <v>0</v>
      </c>
      <c r="V449" s="63">
        <f t="shared" si="2248"/>
        <v>0</v>
      </c>
      <c r="W449" s="62">
        <f t="shared" si="2249"/>
        <v>0</v>
      </c>
      <c r="X449" s="64">
        <f t="shared" ref="X449:Y449" si="2335">IF(O449&gt;0,O449/K449,0)</f>
        <v>0</v>
      </c>
      <c r="Y449" s="64">
        <f t="shared" si="2335"/>
        <v>0</v>
      </c>
      <c r="Z449" s="64">
        <f t="shared" si="1658"/>
        <v>1</v>
      </c>
      <c r="AA449" s="65"/>
      <c r="AB449" s="65"/>
      <c r="AC449" s="65"/>
      <c r="AD449" s="65"/>
      <c r="AE449" s="66"/>
      <c r="AF449" s="66"/>
      <c r="AG449" s="66"/>
      <c r="AH449" s="66"/>
      <c r="AI449" s="65"/>
      <c r="AJ449" s="65"/>
      <c r="AK449" s="65"/>
      <c r="AL449" s="65"/>
      <c r="AM449" s="65"/>
      <c r="AN449" s="65"/>
      <c r="AO449" s="65"/>
      <c r="AP449" s="65"/>
      <c r="AQ449" s="65"/>
      <c r="AR449" s="100">
        <v>441.41</v>
      </c>
      <c r="AS449" s="65"/>
      <c r="AT449" s="65"/>
      <c r="AU449" s="65"/>
      <c r="AV449" s="65"/>
      <c r="AW449" s="65"/>
      <c r="AX449" s="65"/>
      <c r="AY449" s="65"/>
      <c r="AZ449" s="65"/>
      <c r="BA449" s="65"/>
      <c r="BB449" s="65"/>
      <c r="BC449" s="65"/>
      <c r="BD449" s="65"/>
      <c r="BE449" s="65"/>
      <c r="BF449" s="65"/>
      <c r="BG449" s="65"/>
      <c r="BH449" s="65"/>
      <c r="BI449" s="65"/>
      <c r="BJ449" s="65"/>
      <c r="BK449" s="65">
        <v>0</v>
      </c>
      <c r="BL449" s="65">
        <v>0</v>
      </c>
      <c r="BM449" s="65">
        <v>0</v>
      </c>
      <c r="BN449" s="65">
        <f t="shared" si="2257"/>
        <v>0</v>
      </c>
      <c r="BO449" s="67">
        <f t="shared" si="2258"/>
        <v>441.41</v>
      </c>
      <c r="BP449" s="65">
        <f t="shared" si="2259"/>
        <v>441.41</v>
      </c>
      <c r="BQ449" s="65">
        <f t="shared" si="2260"/>
        <v>0</v>
      </c>
      <c r="BR449" s="65">
        <f t="shared" si="2261"/>
        <v>0</v>
      </c>
      <c r="BS449" s="65">
        <f t="shared" si="2262"/>
        <v>0</v>
      </c>
      <c r="BT449" s="65">
        <f t="shared" si="2263"/>
        <v>0</v>
      </c>
      <c r="BU449" s="65">
        <f t="shared" si="2264"/>
        <v>441.41</v>
      </c>
      <c r="BV449" s="65">
        <f t="shared" si="2265"/>
        <v>0</v>
      </c>
      <c r="BW449" s="65">
        <f t="shared" si="2266"/>
        <v>441.41</v>
      </c>
      <c r="BX449" s="6"/>
      <c r="BY449" s="6"/>
      <c r="BZ449" s="6"/>
      <c r="CA449" s="6"/>
      <c r="CB449" s="6"/>
      <c r="CC449" s="6"/>
      <c r="CD449" s="6"/>
      <c r="CE449" s="6"/>
      <c r="CF449" s="6"/>
      <c r="CG449" s="6"/>
    </row>
    <row r="450" spans="1:85" ht="15.75" customHeight="1">
      <c r="A450" s="52" t="s">
        <v>569</v>
      </c>
      <c r="B450" s="54"/>
      <c r="C450" s="104" t="s">
        <v>95</v>
      </c>
      <c r="D450" s="105" t="s">
        <v>570</v>
      </c>
      <c r="E450" s="99">
        <v>0</v>
      </c>
      <c r="F450" s="99">
        <v>0</v>
      </c>
      <c r="G450" s="58">
        <f t="shared" si="2244"/>
        <v>0</v>
      </c>
      <c r="H450" s="99">
        <v>0</v>
      </c>
      <c r="I450" s="59">
        <f t="shared" si="2239"/>
        <v>0</v>
      </c>
      <c r="J450" s="59">
        <f t="shared" si="2240"/>
        <v>0</v>
      </c>
      <c r="K450" s="74">
        <v>0</v>
      </c>
      <c r="L450" s="74">
        <v>0</v>
      </c>
      <c r="M450" s="74">
        <v>0</v>
      </c>
      <c r="N450" s="74">
        <v>199.96</v>
      </c>
      <c r="O450" s="61">
        <f t="shared" ref="O450:Q450" si="2336">AA450+AD450+AG450+AJ450+AM450+AP450+AS450+AV450+AY450+BB450+BE450+BH450</f>
        <v>0</v>
      </c>
      <c r="P450" s="61">
        <f t="shared" si="2336"/>
        <v>0</v>
      </c>
      <c r="Q450" s="61">
        <f t="shared" si="2336"/>
        <v>0</v>
      </c>
      <c r="R450" s="61">
        <f t="shared" ref="R450:T450" si="2337">IF(BK450=0,SUM(AA450+AD450+AG450+AJ450+AM450+AP450+AS450+AV450+AY450+BB450+BE450+BH450),BK450)</f>
        <v>0</v>
      </c>
      <c r="S450" s="61">
        <f t="shared" si="2337"/>
        <v>0</v>
      </c>
      <c r="T450" s="61">
        <f t="shared" si="2337"/>
        <v>0</v>
      </c>
      <c r="U450" s="63">
        <f t="shared" si="2247"/>
        <v>0</v>
      </c>
      <c r="V450" s="63">
        <f t="shared" si="2248"/>
        <v>0</v>
      </c>
      <c r="W450" s="62">
        <f t="shared" si="2249"/>
        <v>199.96</v>
      </c>
      <c r="X450" s="64">
        <f t="shared" ref="X450:Y450" si="2338">IF(O450&gt;0,O450/K450,0)</f>
        <v>0</v>
      </c>
      <c r="Y450" s="64">
        <f t="shared" si="2338"/>
        <v>0</v>
      </c>
      <c r="Z450" s="64">
        <f t="shared" si="1658"/>
        <v>0</v>
      </c>
      <c r="AA450" s="65"/>
      <c r="AB450" s="65"/>
      <c r="AC450" s="65"/>
      <c r="AD450" s="65"/>
      <c r="AE450" s="66"/>
      <c r="AF450" s="66"/>
      <c r="AG450" s="66"/>
      <c r="AH450" s="66"/>
      <c r="AI450" s="65"/>
      <c r="AJ450" s="65"/>
      <c r="AK450" s="65"/>
      <c r="AL450" s="65"/>
      <c r="AM450" s="65"/>
      <c r="AN450" s="65"/>
      <c r="AO450" s="65"/>
      <c r="AP450" s="65"/>
      <c r="AQ450" s="65"/>
      <c r="AR450" s="65"/>
      <c r="AS450" s="65"/>
      <c r="AT450" s="65"/>
      <c r="AU450" s="65"/>
      <c r="AV450" s="65"/>
      <c r="AW450" s="65"/>
      <c r="AX450" s="65"/>
      <c r="AY450" s="65"/>
      <c r="AZ450" s="65"/>
      <c r="BA450" s="65"/>
      <c r="BB450" s="65"/>
      <c r="BC450" s="65"/>
      <c r="BD450" s="65"/>
      <c r="BE450" s="65"/>
      <c r="BF450" s="65"/>
      <c r="BG450" s="65"/>
      <c r="BH450" s="65"/>
      <c r="BI450" s="65"/>
      <c r="BJ450" s="65"/>
      <c r="BK450" s="65">
        <v>0</v>
      </c>
      <c r="BL450" s="65">
        <v>0</v>
      </c>
      <c r="BM450" s="65">
        <v>0</v>
      </c>
      <c r="BN450" s="65">
        <f t="shared" si="2257"/>
        <v>0</v>
      </c>
      <c r="BO450" s="67">
        <f t="shared" si="2258"/>
        <v>0</v>
      </c>
      <c r="BP450" s="65">
        <f t="shared" si="2259"/>
        <v>0</v>
      </c>
      <c r="BQ450" s="65">
        <f t="shared" si="2260"/>
        <v>0</v>
      </c>
      <c r="BR450" s="65">
        <f t="shared" si="2261"/>
        <v>199.96</v>
      </c>
      <c r="BS450" s="65">
        <f t="shared" si="2262"/>
        <v>199.96</v>
      </c>
      <c r="BT450" s="65">
        <f t="shared" si="2263"/>
        <v>0</v>
      </c>
      <c r="BU450" s="65">
        <f t="shared" si="2264"/>
        <v>0</v>
      </c>
      <c r="BV450" s="65">
        <f t="shared" si="2265"/>
        <v>199.96</v>
      </c>
      <c r="BW450" s="65">
        <f t="shared" si="2266"/>
        <v>199.96</v>
      </c>
      <c r="BX450" s="6"/>
      <c r="BY450" s="6"/>
      <c r="BZ450" s="6"/>
      <c r="CA450" s="6"/>
      <c r="CB450" s="6"/>
      <c r="CC450" s="6"/>
      <c r="CD450" s="6"/>
      <c r="CE450" s="6"/>
      <c r="CF450" s="6"/>
      <c r="CG450" s="6"/>
    </row>
    <row r="451" spans="1:85" ht="15.75" customHeight="1">
      <c r="A451" s="52" t="s">
        <v>571</v>
      </c>
      <c r="B451" s="54"/>
      <c r="C451" s="104" t="s">
        <v>95</v>
      </c>
      <c r="D451" s="105" t="s">
        <v>572</v>
      </c>
      <c r="E451" s="99">
        <v>0</v>
      </c>
      <c r="F451" s="99">
        <v>0</v>
      </c>
      <c r="G451" s="58">
        <f t="shared" si="2244"/>
        <v>0</v>
      </c>
      <c r="H451" s="99">
        <v>0</v>
      </c>
      <c r="I451" s="59">
        <f t="shared" si="2239"/>
        <v>0</v>
      </c>
      <c r="J451" s="59">
        <f t="shared" si="2240"/>
        <v>0</v>
      </c>
      <c r="K451" s="74">
        <v>0</v>
      </c>
      <c r="L451" s="74">
        <v>0</v>
      </c>
      <c r="M451" s="74">
        <v>0</v>
      </c>
      <c r="N451" s="74">
        <v>2600</v>
      </c>
      <c r="O451" s="61">
        <f t="shared" ref="O451:Q451" si="2339">AA451+AD451+AG451+AJ451+AM451+AP451+AS451+AV451+AY451+BB451+BE451+BH451</f>
        <v>0</v>
      </c>
      <c r="P451" s="61">
        <f t="shared" si="2339"/>
        <v>0</v>
      </c>
      <c r="Q451" s="61">
        <f t="shared" si="2339"/>
        <v>0</v>
      </c>
      <c r="R451" s="61">
        <f t="shared" ref="R451:T451" si="2340">IF(BK451=0,SUM(AA451+AD451+AG451+AJ451+AM451+AP451+AS451+AV451+AY451+BB451+BE451+BH451),BK451)</f>
        <v>0</v>
      </c>
      <c r="S451" s="61">
        <f t="shared" si="2340"/>
        <v>0</v>
      </c>
      <c r="T451" s="61">
        <f t="shared" si="2340"/>
        <v>0</v>
      </c>
      <c r="U451" s="63">
        <f t="shared" si="2247"/>
        <v>0</v>
      </c>
      <c r="V451" s="63">
        <f t="shared" si="2248"/>
        <v>0</v>
      </c>
      <c r="W451" s="62">
        <f t="shared" si="2249"/>
        <v>2600</v>
      </c>
      <c r="X451" s="64">
        <f t="shared" ref="X451:Y451" si="2341">IF(O451&gt;0,O451/K451,0)</f>
        <v>0</v>
      </c>
      <c r="Y451" s="64">
        <f t="shared" si="2341"/>
        <v>0</v>
      </c>
      <c r="Z451" s="64">
        <f t="shared" si="1658"/>
        <v>0</v>
      </c>
      <c r="AA451" s="65"/>
      <c r="AB451" s="65"/>
      <c r="AC451" s="65"/>
      <c r="AD451" s="65"/>
      <c r="AE451" s="66"/>
      <c r="AF451" s="66"/>
      <c r="AG451" s="66"/>
      <c r="AH451" s="66"/>
      <c r="AI451" s="65"/>
      <c r="AJ451" s="65"/>
      <c r="AK451" s="65"/>
      <c r="AL451" s="65"/>
      <c r="AM451" s="65"/>
      <c r="AN451" s="65"/>
      <c r="AO451" s="65"/>
      <c r="AP451" s="65"/>
      <c r="AQ451" s="65"/>
      <c r="AR451" s="65"/>
      <c r="AS451" s="65"/>
      <c r="AT451" s="65"/>
      <c r="AU451" s="65"/>
      <c r="AV451" s="65"/>
      <c r="AW451" s="65"/>
      <c r="AX451" s="65"/>
      <c r="AY451" s="65"/>
      <c r="AZ451" s="65"/>
      <c r="BA451" s="65"/>
      <c r="BB451" s="65"/>
      <c r="BC451" s="65"/>
      <c r="BD451" s="65"/>
      <c r="BE451" s="65"/>
      <c r="BF451" s="65"/>
      <c r="BG451" s="65"/>
      <c r="BH451" s="65"/>
      <c r="BI451" s="65"/>
      <c r="BJ451" s="65"/>
      <c r="BK451" s="65">
        <v>0</v>
      </c>
      <c r="BL451" s="65">
        <v>0</v>
      </c>
      <c r="BM451" s="65">
        <v>0</v>
      </c>
      <c r="BN451" s="65">
        <f t="shared" si="2257"/>
        <v>0</v>
      </c>
      <c r="BO451" s="67">
        <f t="shared" si="2258"/>
        <v>0</v>
      </c>
      <c r="BP451" s="65">
        <f t="shared" si="2259"/>
        <v>0</v>
      </c>
      <c r="BQ451" s="65">
        <f t="shared" si="2260"/>
        <v>0</v>
      </c>
      <c r="BR451" s="65">
        <f t="shared" si="2261"/>
        <v>2600</v>
      </c>
      <c r="BS451" s="65">
        <f t="shared" si="2262"/>
        <v>2600</v>
      </c>
      <c r="BT451" s="65">
        <f t="shared" si="2263"/>
        <v>0</v>
      </c>
      <c r="BU451" s="65">
        <f t="shared" si="2264"/>
        <v>0</v>
      </c>
      <c r="BV451" s="65">
        <f t="shared" si="2265"/>
        <v>2600</v>
      </c>
      <c r="BW451" s="65">
        <f t="shared" si="2266"/>
        <v>2600</v>
      </c>
      <c r="BX451" s="6"/>
      <c r="BY451" s="6"/>
      <c r="BZ451" s="6"/>
      <c r="CA451" s="6"/>
      <c r="CB451" s="6"/>
      <c r="CC451" s="6"/>
      <c r="CD451" s="6"/>
      <c r="CE451" s="6"/>
      <c r="CF451" s="6"/>
      <c r="CG451" s="6"/>
    </row>
    <row r="452" spans="1:85" ht="15.75" customHeight="1">
      <c r="A452" s="52" t="s">
        <v>573</v>
      </c>
      <c r="B452" s="54"/>
      <c r="C452" s="104" t="s">
        <v>95</v>
      </c>
      <c r="D452" s="105" t="s">
        <v>564</v>
      </c>
      <c r="E452" s="99">
        <v>0</v>
      </c>
      <c r="F452" s="99">
        <v>0</v>
      </c>
      <c r="G452" s="58">
        <f t="shared" si="2244"/>
        <v>0</v>
      </c>
      <c r="H452" s="99">
        <v>0</v>
      </c>
      <c r="I452" s="59">
        <f t="shared" si="2239"/>
        <v>0</v>
      </c>
      <c r="J452" s="59">
        <f t="shared" si="2240"/>
        <v>0</v>
      </c>
      <c r="K452" s="74">
        <v>0</v>
      </c>
      <c r="L452" s="74">
        <v>0</v>
      </c>
      <c r="M452" s="74">
        <v>0</v>
      </c>
      <c r="N452" s="74">
        <v>91.02</v>
      </c>
      <c r="O452" s="61">
        <f t="shared" ref="O452:Q452" si="2342">AA452+AD452+AG452+AJ452+AM452+AP452+AS452+AV452+AY452+BB452+BE452+BH452</f>
        <v>0</v>
      </c>
      <c r="P452" s="61">
        <f t="shared" si="2342"/>
        <v>0</v>
      </c>
      <c r="Q452" s="61">
        <f t="shared" si="2342"/>
        <v>91.02</v>
      </c>
      <c r="R452" s="61">
        <f t="shared" ref="R452:T452" si="2343">IF(BK452=0,SUM(AA452+AD452+AG452+AJ452+AM452+AP452+AS452+AV452+AY452+BB452+BE452+BH452),BK452)</f>
        <v>0</v>
      </c>
      <c r="S452" s="61">
        <f t="shared" si="2343"/>
        <v>0</v>
      </c>
      <c r="T452" s="61">
        <f t="shared" si="2343"/>
        <v>91.02</v>
      </c>
      <c r="U452" s="63">
        <f t="shared" si="2247"/>
        <v>0</v>
      </c>
      <c r="V452" s="63">
        <f t="shared" si="2248"/>
        <v>0</v>
      </c>
      <c r="W452" s="63">
        <f t="shared" si="2249"/>
        <v>0</v>
      </c>
      <c r="X452" s="64">
        <f t="shared" ref="X452:Y452" si="2344">IF(O452&gt;0,O452/K452,0)</f>
        <v>0</v>
      </c>
      <c r="Y452" s="64">
        <f t="shared" si="2344"/>
        <v>0</v>
      </c>
      <c r="Z452" s="64">
        <f t="shared" si="1658"/>
        <v>1</v>
      </c>
      <c r="AA452" s="65"/>
      <c r="AB452" s="65"/>
      <c r="AC452" s="65"/>
      <c r="AD452" s="65"/>
      <c r="AE452" s="66"/>
      <c r="AF452" s="66"/>
      <c r="AG452" s="66"/>
      <c r="AH452" s="66"/>
      <c r="AI452" s="65"/>
      <c r="AJ452" s="65"/>
      <c r="AK452" s="65"/>
      <c r="AL452" s="65"/>
      <c r="AM452" s="100"/>
      <c r="AN452" s="65"/>
      <c r="AO452" s="100">
        <v>91.02</v>
      </c>
      <c r="AP452" s="65"/>
      <c r="AQ452" s="65"/>
      <c r="AR452" s="65"/>
      <c r="AS452" s="65"/>
      <c r="AT452" s="65"/>
      <c r="AU452" s="65"/>
      <c r="AV452" s="65"/>
      <c r="AW452" s="65"/>
      <c r="AX452" s="65"/>
      <c r="AY452" s="65"/>
      <c r="AZ452" s="65"/>
      <c r="BA452" s="65"/>
      <c r="BB452" s="65"/>
      <c r="BC452" s="65"/>
      <c r="BD452" s="65"/>
      <c r="BE452" s="65"/>
      <c r="BF452" s="65"/>
      <c r="BG452" s="65"/>
      <c r="BH452" s="65"/>
      <c r="BI452" s="65"/>
      <c r="BJ452" s="65"/>
      <c r="BK452" s="65">
        <v>0</v>
      </c>
      <c r="BL452" s="65">
        <v>0</v>
      </c>
      <c r="BM452" s="65">
        <v>0</v>
      </c>
      <c r="BN452" s="65">
        <f t="shared" si="2257"/>
        <v>0</v>
      </c>
      <c r="BO452" s="67">
        <f t="shared" si="2258"/>
        <v>91.02</v>
      </c>
      <c r="BP452" s="65">
        <f t="shared" si="2259"/>
        <v>91.02</v>
      </c>
      <c r="BQ452" s="65">
        <f t="shared" si="2260"/>
        <v>0</v>
      </c>
      <c r="BR452" s="65">
        <f t="shared" si="2261"/>
        <v>0</v>
      </c>
      <c r="BS452" s="65">
        <f t="shared" si="2262"/>
        <v>0</v>
      </c>
      <c r="BT452" s="65">
        <f t="shared" si="2263"/>
        <v>0</v>
      </c>
      <c r="BU452" s="65">
        <f t="shared" si="2264"/>
        <v>91.02</v>
      </c>
      <c r="BV452" s="65">
        <f t="shared" si="2265"/>
        <v>0</v>
      </c>
      <c r="BW452" s="65">
        <f t="shared" si="2266"/>
        <v>91.02</v>
      </c>
      <c r="BX452" s="6"/>
      <c r="BY452" s="6"/>
      <c r="BZ452" s="6"/>
      <c r="CA452" s="6"/>
      <c r="CB452" s="6"/>
      <c r="CC452" s="6"/>
      <c r="CD452" s="6"/>
      <c r="CE452" s="6"/>
      <c r="CF452" s="6"/>
      <c r="CG452" s="6"/>
    </row>
    <row r="453" spans="1:85" ht="15.75" customHeight="1">
      <c r="A453" s="52" t="s">
        <v>574</v>
      </c>
      <c r="B453" s="54"/>
      <c r="C453" s="104" t="s">
        <v>95</v>
      </c>
      <c r="D453" s="105" t="s">
        <v>575</v>
      </c>
      <c r="E453" s="99">
        <v>0</v>
      </c>
      <c r="F453" s="99">
        <v>0</v>
      </c>
      <c r="G453" s="58">
        <f t="shared" si="2244"/>
        <v>0</v>
      </c>
      <c r="H453" s="99">
        <v>0</v>
      </c>
      <c r="I453" s="59">
        <f t="shared" si="2239"/>
        <v>0</v>
      </c>
      <c r="J453" s="59">
        <f t="shared" si="2240"/>
        <v>0</v>
      </c>
      <c r="K453" s="74">
        <v>0</v>
      </c>
      <c r="L453" s="74">
        <v>0</v>
      </c>
      <c r="M453" s="74">
        <v>0</v>
      </c>
      <c r="N453" s="74">
        <v>1714.5</v>
      </c>
      <c r="O453" s="61">
        <f t="shared" ref="O453:Q453" si="2345">AA453+AD453+AG453+AJ453+AM453+AP453+AS453+AV453+AY453+BB453+BE453+BH453</f>
        <v>0</v>
      </c>
      <c r="P453" s="61">
        <f t="shared" si="2345"/>
        <v>0</v>
      </c>
      <c r="Q453" s="61">
        <f t="shared" si="2345"/>
        <v>1714.5</v>
      </c>
      <c r="R453" s="61">
        <f t="shared" ref="R453:T453" si="2346">IF(BK453=0,SUM(AA453+AD453+AG453+AJ453+AM453+AP453+AS453+AV453+AY453+BB453+BE453+BH453),BK453)</f>
        <v>0</v>
      </c>
      <c r="S453" s="61">
        <f t="shared" si="2346"/>
        <v>0</v>
      </c>
      <c r="T453" s="61">
        <f t="shared" si="2346"/>
        <v>1714.5</v>
      </c>
      <c r="U453" s="63">
        <f t="shared" si="2247"/>
        <v>0</v>
      </c>
      <c r="V453" s="63">
        <f t="shared" si="2248"/>
        <v>0</v>
      </c>
      <c r="W453" s="62">
        <f t="shared" si="2249"/>
        <v>0</v>
      </c>
      <c r="X453" s="64">
        <f t="shared" ref="X453:Y453" si="2347">IF(O453&gt;0,O453/K453,0)</f>
        <v>0</v>
      </c>
      <c r="Y453" s="64">
        <f t="shared" si="2347"/>
        <v>0</v>
      </c>
      <c r="Z453" s="64">
        <f t="shared" si="1658"/>
        <v>1</v>
      </c>
      <c r="AA453" s="65"/>
      <c r="AB453" s="65"/>
      <c r="AC453" s="65"/>
      <c r="AD453" s="65"/>
      <c r="AE453" s="66"/>
      <c r="AF453" s="66"/>
      <c r="AG453" s="66"/>
      <c r="AH453" s="66"/>
      <c r="AI453" s="65"/>
      <c r="AJ453" s="65"/>
      <c r="AK453" s="65"/>
      <c r="AL453" s="65"/>
      <c r="AM453" s="65"/>
      <c r="AN453" s="65"/>
      <c r="AO453" s="65"/>
      <c r="AP453" s="65"/>
      <c r="AQ453" s="65"/>
      <c r="AR453" s="100">
        <v>1714.5</v>
      </c>
      <c r="AS453" s="65"/>
      <c r="AT453" s="65"/>
      <c r="AU453" s="65"/>
      <c r="AV453" s="65"/>
      <c r="AW453" s="65"/>
      <c r="AX453" s="65"/>
      <c r="AY453" s="65"/>
      <c r="AZ453" s="65"/>
      <c r="BA453" s="65"/>
      <c r="BB453" s="65"/>
      <c r="BC453" s="65"/>
      <c r="BD453" s="65"/>
      <c r="BE453" s="65"/>
      <c r="BF453" s="65"/>
      <c r="BG453" s="65"/>
      <c r="BH453" s="65"/>
      <c r="BI453" s="65"/>
      <c r="BJ453" s="65"/>
      <c r="BK453" s="65">
        <v>0</v>
      </c>
      <c r="BL453" s="65">
        <v>0</v>
      </c>
      <c r="BM453" s="65">
        <v>0</v>
      </c>
      <c r="BN453" s="65">
        <f t="shared" si="2257"/>
        <v>0</v>
      </c>
      <c r="BO453" s="67">
        <f t="shared" si="2258"/>
        <v>1714.5</v>
      </c>
      <c r="BP453" s="65">
        <f t="shared" si="2259"/>
        <v>1714.5</v>
      </c>
      <c r="BQ453" s="65">
        <f t="shared" si="2260"/>
        <v>0</v>
      </c>
      <c r="BR453" s="65">
        <f t="shared" si="2261"/>
        <v>0</v>
      </c>
      <c r="BS453" s="65">
        <f t="shared" si="2262"/>
        <v>0</v>
      </c>
      <c r="BT453" s="65">
        <f t="shared" si="2263"/>
        <v>0</v>
      </c>
      <c r="BU453" s="65">
        <f t="shared" si="2264"/>
        <v>1714.5</v>
      </c>
      <c r="BV453" s="65">
        <f t="shared" si="2265"/>
        <v>0</v>
      </c>
      <c r="BW453" s="65">
        <f t="shared" si="2266"/>
        <v>1714.5</v>
      </c>
      <c r="BX453" s="6"/>
      <c r="BY453" s="6"/>
      <c r="BZ453" s="6"/>
      <c r="CA453" s="6"/>
      <c r="CB453" s="6"/>
      <c r="CC453" s="6"/>
      <c r="CD453" s="6"/>
      <c r="CE453" s="6"/>
      <c r="CF453" s="6"/>
      <c r="CG453" s="6"/>
    </row>
    <row r="454" spans="1:85" ht="15.75" customHeight="1">
      <c r="A454" s="52" t="s">
        <v>576</v>
      </c>
      <c r="B454" s="54"/>
      <c r="C454" s="104" t="s">
        <v>98</v>
      </c>
      <c r="D454" s="105" t="s">
        <v>577</v>
      </c>
      <c r="E454" s="99">
        <v>0</v>
      </c>
      <c r="F454" s="99">
        <v>0</v>
      </c>
      <c r="G454" s="58">
        <f t="shared" si="2244"/>
        <v>0</v>
      </c>
      <c r="H454" s="99">
        <v>0</v>
      </c>
      <c r="I454" s="59">
        <f t="shared" si="2239"/>
        <v>0</v>
      </c>
      <c r="J454" s="59">
        <f t="shared" si="2240"/>
        <v>0</v>
      </c>
      <c r="K454" s="74">
        <v>0</v>
      </c>
      <c r="L454" s="74">
        <v>0</v>
      </c>
      <c r="M454" s="74">
        <v>0</v>
      </c>
      <c r="N454" s="74">
        <v>306</v>
      </c>
      <c r="O454" s="61">
        <f t="shared" ref="O454:Q454" si="2348">AA454+AD454+AG454+AJ454+AM454+AP454+AS454+AV454+AY454+BB454+BE454+BH454</f>
        <v>0</v>
      </c>
      <c r="P454" s="61">
        <f t="shared" si="2348"/>
        <v>0</v>
      </c>
      <c r="Q454" s="61">
        <f t="shared" si="2348"/>
        <v>0</v>
      </c>
      <c r="R454" s="61">
        <f t="shared" ref="R454:T454" si="2349">IF(BK454=0,SUM(AA454+AD454+AG454+AJ454+AM454+AP454+AS454+AV454+AY454+BB454+BE454+BH454),BK454)</f>
        <v>0</v>
      </c>
      <c r="S454" s="61">
        <f t="shared" si="2349"/>
        <v>0</v>
      </c>
      <c r="T454" s="61">
        <f t="shared" si="2349"/>
        <v>0</v>
      </c>
      <c r="U454" s="63">
        <f t="shared" si="2247"/>
        <v>0</v>
      </c>
      <c r="V454" s="63">
        <f t="shared" si="2248"/>
        <v>0</v>
      </c>
      <c r="W454" s="62">
        <f t="shared" si="2249"/>
        <v>306</v>
      </c>
      <c r="X454" s="64">
        <f t="shared" ref="X454:Y454" si="2350">IF(O454&gt;0,O454/K454,0)</f>
        <v>0</v>
      </c>
      <c r="Y454" s="64">
        <f t="shared" si="2350"/>
        <v>0</v>
      </c>
      <c r="Z454" s="64">
        <f t="shared" si="1658"/>
        <v>0</v>
      </c>
      <c r="AA454" s="65"/>
      <c r="AB454" s="65"/>
      <c r="AC454" s="65"/>
      <c r="AD454" s="65"/>
      <c r="AE454" s="66"/>
      <c r="AF454" s="66"/>
      <c r="AG454" s="66"/>
      <c r="AH454" s="66"/>
      <c r="AI454" s="65"/>
      <c r="AJ454" s="65"/>
      <c r="AK454" s="65"/>
      <c r="AL454" s="65"/>
      <c r="AM454" s="65"/>
      <c r="AN454" s="65"/>
      <c r="AO454" s="65"/>
      <c r="AP454" s="65"/>
      <c r="AQ454" s="65"/>
      <c r="AR454" s="65"/>
      <c r="AS454" s="65"/>
      <c r="AT454" s="65"/>
      <c r="AU454" s="65"/>
      <c r="AV454" s="65"/>
      <c r="AW454" s="65"/>
      <c r="AX454" s="65"/>
      <c r="AY454" s="65"/>
      <c r="AZ454" s="65"/>
      <c r="BA454" s="65"/>
      <c r="BB454" s="65"/>
      <c r="BC454" s="65"/>
      <c r="BD454" s="65"/>
      <c r="BE454" s="65"/>
      <c r="BF454" s="65"/>
      <c r="BG454" s="65"/>
      <c r="BH454" s="65"/>
      <c r="BI454" s="65"/>
      <c r="BJ454" s="65"/>
      <c r="BK454" s="65">
        <v>0</v>
      </c>
      <c r="BL454" s="65">
        <v>0</v>
      </c>
      <c r="BM454" s="65">
        <v>0</v>
      </c>
      <c r="BN454" s="65">
        <f t="shared" si="2257"/>
        <v>0</v>
      </c>
      <c r="BO454" s="67">
        <f t="shared" si="2258"/>
        <v>0</v>
      </c>
      <c r="BP454" s="65">
        <f t="shared" si="2259"/>
        <v>0</v>
      </c>
      <c r="BQ454" s="65">
        <f t="shared" si="2260"/>
        <v>0</v>
      </c>
      <c r="BR454" s="65">
        <f t="shared" si="2261"/>
        <v>306</v>
      </c>
      <c r="BS454" s="65">
        <f t="shared" si="2262"/>
        <v>306</v>
      </c>
      <c r="BT454" s="65">
        <f t="shared" si="2263"/>
        <v>0</v>
      </c>
      <c r="BU454" s="65">
        <f t="shared" si="2264"/>
        <v>0</v>
      </c>
      <c r="BV454" s="65">
        <f t="shared" si="2265"/>
        <v>306</v>
      </c>
      <c r="BW454" s="65">
        <f t="shared" si="2266"/>
        <v>306</v>
      </c>
      <c r="BX454" s="6"/>
      <c r="BY454" s="6"/>
      <c r="BZ454" s="6"/>
      <c r="CA454" s="6"/>
      <c r="CB454" s="6"/>
      <c r="CC454" s="6"/>
      <c r="CD454" s="6"/>
      <c r="CE454" s="6"/>
      <c r="CF454" s="6"/>
      <c r="CG454" s="6"/>
    </row>
    <row r="455" spans="1:85" ht="15.75" customHeight="1">
      <c r="A455" s="52" t="s">
        <v>578</v>
      </c>
      <c r="B455" s="54"/>
      <c r="C455" s="104" t="s">
        <v>98</v>
      </c>
      <c r="D455" s="105" t="s">
        <v>579</v>
      </c>
      <c r="E455" s="99">
        <v>0</v>
      </c>
      <c r="F455" s="99">
        <v>0</v>
      </c>
      <c r="G455" s="58">
        <f t="shared" si="2244"/>
        <v>0</v>
      </c>
      <c r="H455" s="99">
        <v>0</v>
      </c>
      <c r="I455" s="59">
        <f t="shared" si="2239"/>
        <v>0</v>
      </c>
      <c r="J455" s="59">
        <f t="shared" si="2240"/>
        <v>0</v>
      </c>
      <c r="K455" s="74">
        <v>0</v>
      </c>
      <c r="L455" s="74">
        <v>0</v>
      </c>
      <c r="M455" s="74">
        <v>0</v>
      </c>
      <c r="N455" s="74">
        <v>326.39999999999998</v>
      </c>
      <c r="O455" s="61">
        <f t="shared" ref="O455:Q455" si="2351">AA455+AD455+AG455+AJ455+AM455+AP455+AS455+AV455+AY455+BB455+BE455+BH455</f>
        <v>0</v>
      </c>
      <c r="P455" s="61">
        <f t="shared" si="2351"/>
        <v>0</v>
      </c>
      <c r="Q455" s="61">
        <f t="shared" si="2351"/>
        <v>0</v>
      </c>
      <c r="R455" s="61">
        <f t="shared" ref="R455:T455" si="2352">IF(BK455=0,SUM(AA455+AD455+AG455+AJ455+AM455+AP455+AS455+AV455+AY455+BB455+BE455+BH455),BK455)</f>
        <v>0</v>
      </c>
      <c r="S455" s="61">
        <f t="shared" si="2352"/>
        <v>0</v>
      </c>
      <c r="T455" s="61">
        <f t="shared" si="2352"/>
        <v>0</v>
      </c>
      <c r="U455" s="63">
        <f t="shared" si="2247"/>
        <v>0</v>
      </c>
      <c r="V455" s="63">
        <f t="shared" si="2248"/>
        <v>0</v>
      </c>
      <c r="W455" s="62">
        <f t="shared" si="2249"/>
        <v>326.39999999999998</v>
      </c>
      <c r="X455" s="64">
        <f t="shared" ref="X455:Y455" si="2353">IF(O455&gt;0,O455/K455,0)</f>
        <v>0</v>
      </c>
      <c r="Y455" s="64">
        <f t="shared" si="2353"/>
        <v>0</v>
      </c>
      <c r="Z455" s="64">
        <f t="shared" si="1658"/>
        <v>0</v>
      </c>
      <c r="AA455" s="65"/>
      <c r="AB455" s="65"/>
      <c r="AC455" s="65"/>
      <c r="AD455" s="65"/>
      <c r="AE455" s="66"/>
      <c r="AF455" s="66"/>
      <c r="AG455" s="66"/>
      <c r="AH455" s="66"/>
      <c r="AI455" s="65"/>
      <c r="AJ455" s="65"/>
      <c r="AK455" s="65"/>
      <c r="AL455" s="65"/>
      <c r="AM455" s="65"/>
      <c r="AN455" s="65"/>
      <c r="AO455" s="65"/>
      <c r="AP455" s="65"/>
      <c r="AQ455" s="65"/>
      <c r="AR455" s="65"/>
      <c r="AS455" s="65"/>
      <c r="AT455" s="65"/>
      <c r="AU455" s="65"/>
      <c r="AV455" s="65"/>
      <c r="AW455" s="65"/>
      <c r="AX455" s="65"/>
      <c r="AY455" s="65"/>
      <c r="AZ455" s="65"/>
      <c r="BA455" s="65"/>
      <c r="BB455" s="65"/>
      <c r="BC455" s="65"/>
      <c r="BD455" s="65"/>
      <c r="BE455" s="65"/>
      <c r="BF455" s="65"/>
      <c r="BG455" s="65"/>
      <c r="BH455" s="65"/>
      <c r="BI455" s="65"/>
      <c r="BJ455" s="65"/>
      <c r="BK455" s="65">
        <v>0</v>
      </c>
      <c r="BL455" s="65">
        <v>0</v>
      </c>
      <c r="BM455" s="65">
        <v>0</v>
      </c>
      <c r="BN455" s="65">
        <f t="shared" si="2257"/>
        <v>0</v>
      </c>
      <c r="BO455" s="67">
        <f t="shared" si="2258"/>
        <v>0</v>
      </c>
      <c r="BP455" s="65">
        <f t="shared" si="2259"/>
        <v>0</v>
      </c>
      <c r="BQ455" s="65">
        <f t="shared" si="2260"/>
        <v>0</v>
      </c>
      <c r="BR455" s="65">
        <f t="shared" si="2261"/>
        <v>326.39999999999998</v>
      </c>
      <c r="BS455" s="65">
        <f t="shared" si="2262"/>
        <v>326.39999999999998</v>
      </c>
      <c r="BT455" s="65">
        <f t="shared" si="2263"/>
        <v>0</v>
      </c>
      <c r="BU455" s="65">
        <f t="shared" si="2264"/>
        <v>0</v>
      </c>
      <c r="BV455" s="65">
        <f t="shared" si="2265"/>
        <v>326.39999999999998</v>
      </c>
      <c r="BW455" s="65">
        <f t="shared" si="2266"/>
        <v>326.39999999999998</v>
      </c>
      <c r="BX455" s="6"/>
      <c r="BY455" s="6"/>
      <c r="BZ455" s="6"/>
      <c r="CA455" s="6"/>
      <c r="CB455" s="6"/>
      <c r="CC455" s="6"/>
      <c r="CD455" s="6"/>
      <c r="CE455" s="6"/>
      <c r="CF455" s="6"/>
      <c r="CG455" s="6"/>
    </row>
    <row r="456" spans="1:85" ht="15.75" customHeight="1">
      <c r="A456" s="52" t="s">
        <v>580</v>
      </c>
      <c r="B456" s="54"/>
      <c r="C456" s="104" t="s">
        <v>504</v>
      </c>
      <c r="D456" s="105" t="s">
        <v>581</v>
      </c>
      <c r="E456" s="99">
        <v>0</v>
      </c>
      <c r="F456" s="99">
        <v>0</v>
      </c>
      <c r="G456" s="58">
        <f t="shared" si="2244"/>
        <v>0</v>
      </c>
      <c r="H456" s="99">
        <v>0</v>
      </c>
      <c r="I456" s="59">
        <f t="shared" si="2239"/>
        <v>0</v>
      </c>
      <c r="J456" s="59">
        <f t="shared" si="2240"/>
        <v>0</v>
      </c>
      <c r="K456" s="74">
        <v>0</v>
      </c>
      <c r="L456" s="74">
        <v>0</v>
      </c>
      <c r="M456" s="74">
        <v>0</v>
      </c>
      <c r="N456" s="74">
        <v>6781.5</v>
      </c>
      <c r="O456" s="61">
        <f t="shared" ref="O456:Q456" si="2354">AA456+AD456+AG456+AJ456+AM456+AP456+AS456+AV456+AY456+BB456+BE456+BH456</f>
        <v>0</v>
      </c>
      <c r="P456" s="61">
        <f t="shared" si="2354"/>
        <v>0</v>
      </c>
      <c r="Q456" s="61">
        <f t="shared" si="2354"/>
        <v>0</v>
      </c>
      <c r="R456" s="61">
        <f t="shared" ref="R456:T456" si="2355">IF(BK456=0,SUM(AA456+AD456+AG456+AJ456+AM456+AP456+AS456+AV456+AY456+BB456+BE456+BH456),BK456)</f>
        <v>0</v>
      </c>
      <c r="S456" s="61">
        <f t="shared" si="2355"/>
        <v>0</v>
      </c>
      <c r="T456" s="61">
        <f t="shared" si="2355"/>
        <v>0</v>
      </c>
      <c r="U456" s="63">
        <f t="shared" si="2247"/>
        <v>0</v>
      </c>
      <c r="V456" s="63">
        <f t="shared" si="2248"/>
        <v>0</v>
      </c>
      <c r="W456" s="62">
        <f t="shared" si="2249"/>
        <v>6781.5</v>
      </c>
      <c r="X456" s="64">
        <f t="shared" ref="X456:Y456" si="2356">IF(O456&gt;0,O456/K456,0)</f>
        <v>0</v>
      </c>
      <c r="Y456" s="64">
        <f t="shared" si="2356"/>
        <v>0</v>
      </c>
      <c r="Z456" s="64">
        <f t="shared" si="1658"/>
        <v>0</v>
      </c>
      <c r="AA456" s="65"/>
      <c r="AB456" s="65"/>
      <c r="AC456" s="65"/>
      <c r="AD456" s="65"/>
      <c r="AE456" s="66"/>
      <c r="AF456" s="66"/>
      <c r="AG456" s="66"/>
      <c r="AH456" s="66"/>
      <c r="AI456" s="65"/>
      <c r="AJ456" s="65"/>
      <c r="AK456" s="65"/>
      <c r="AL456" s="65"/>
      <c r="AM456" s="65"/>
      <c r="AN456" s="65"/>
      <c r="AO456" s="65"/>
      <c r="AP456" s="65"/>
      <c r="AQ456" s="65"/>
      <c r="AR456" s="65"/>
      <c r="AS456" s="65"/>
      <c r="AT456" s="65"/>
      <c r="AU456" s="65"/>
      <c r="AV456" s="65"/>
      <c r="AW456" s="65"/>
      <c r="AX456" s="65"/>
      <c r="AY456" s="65"/>
      <c r="AZ456" s="65"/>
      <c r="BA456" s="65"/>
      <c r="BB456" s="65"/>
      <c r="BC456" s="65"/>
      <c r="BD456" s="65"/>
      <c r="BE456" s="65"/>
      <c r="BF456" s="65"/>
      <c r="BG456" s="65"/>
      <c r="BH456" s="65"/>
      <c r="BI456" s="65"/>
      <c r="BJ456" s="65"/>
      <c r="BK456" s="65">
        <v>0</v>
      </c>
      <c r="BL456" s="65">
        <v>0</v>
      </c>
      <c r="BM456" s="65">
        <v>0</v>
      </c>
      <c r="BN456" s="65">
        <f t="shared" si="2257"/>
        <v>0</v>
      </c>
      <c r="BO456" s="67">
        <f t="shared" si="2258"/>
        <v>0</v>
      </c>
      <c r="BP456" s="65">
        <f t="shared" si="2259"/>
        <v>0</v>
      </c>
      <c r="BQ456" s="65">
        <f t="shared" si="2260"/>
        <v>0</v>
      </c>
      <c r="BR456" s="65">
        <f t="shared" si="2261"/>
        <v>6781.5</v>
      </c>
      <c r="BS456" s="65">
        <f t="shared" si="2262"/>
        <v>6781.5</v>
      </c>
      <c r="BT456" s="65">
        <f t="shared" si="2263"/>
        <v>0</v>
      </c>
      <c r="BU456" s="65">
        <f t="shared" si="2264"/>
        <v>0</v>
      </c>
      <c r="BV456" s="65">
        <f t="shared" si="2265"/>
        <v>6781.5</v>
      </c>
      <c r="BW456" s="65">
        <f t="shared" si="2266"/>
        <v>6781.5</v>
      </c>
      <c r="BX456" s="6"/>
      <c r="BY456" s="6"/>
      <c r="BZ456" s="6"/>
      <c r="CA456" s="6"/>
      <c r="CB456" s="6"/>
      <c r="CC456" s="6"/>
      <c r="CD456" s="6"/>
      <c r="CE456" s="6"/>
      <c r="CF456" s="6"/>
      <c r="CG456" s="6"/>
    </row>
    <row r="457" spans="1:85" ht="15.75" customHeight="1">
      <c r="A457" s="104" t="s">
        <v>582</v>
      </c>
      <c r="B457" s="68"/>
      <c r="C457" s="68" t="s">
        <v>93</v>
      </c>
      <c r="D457" s="105" t="s">
        <v>583</v>
      </c>
      <c r="E457" s="99">
        <v>0</v>
      </c>
      <c r="F457" s="99">
        <v>0</v>
      </c>
      <c r="G457" s="58">
        <f t="shared" si="2244"/>
        <v>0</v>
      </c>
      <c r="H457" s="99">
        <v>0</v>
      </c>
      <c r="I457" s="59">
        <f t="shared" si="2239"/>
        <v>0</v>
      </c>
      <c r="J457" s="59">
        <f t="shared" si="2240"/>
        <v>0</v>
      </c>
      <c r="K457" s="74">
        <v>0</v>
      </c>
      <c r="L457" s="74">
        <v>0</v>
      </c>
      <c r="M457" s="74">
        <v>0</v>
      </c>
      <c r="N457" s="74">
        <v>1432.3</v>
      </c>
      <c r="O457" s="61">
        <f t="shared" ref="O457:Q457" si="2357">AA457+AD457+AG457+AJ457+AM457+AP457+AS457+AV457+AY457+BB457+BE457+BH457</f>
        <v>0</v>
      </c>
      <c r="P457" s="61">
        <f t="shared" si="2357"/>
        <v>0</v>
      </c>
      <c r="Q457" s="61">
        <f t="shared" si="2357"/>
        <v>1432.3</v>
      </c>
      <c r="R457" s="61">
        <f t="shared" ref="R457:T457" si="2358">IF(BK457=0,SUM(AA457+AD457+AG457+AJ457+AM457+AP457+AS457+AV457+AY457+BB457+BE457+BH457),BK457)</f>
        <v>0</v>
      </c>
      <c r="S457" s="61">
        <f t="shared" si="2358"/>
        <v>0</v>
      </c>
      <c r="T457" s="61">
        <f t="shared" si="2358"/>
        <v>1432.3</v>
      </c>
      <c r="U457" s="63">
        <f t="shared" si="2247"/>
        <v>0</v>
      </c>
      <c r="V457" s="63">
        <f t="shared" si="2248"/>
        <v>0</v>
      </c>
      <c r="W457" s="63">
        <f t="shared" si="2249"/>
        <v>0</v>
      </c>
      <c r="X457" s="64">
        <f t="shared" ref="X457:Y457" si="2359">IF(O457&gt;0,O457/K457,0)</f>
        <v>0</v>
      </c>
      <c r="Y457" s="64">
        <f t="shared" si="2359"/>
        <v>0</v>
      </c>
      <c r="Z457" s="64">
        <f t="shared" si="1658"/>
        <v>1</v>
      </c>
      <c r="AA457" s="65"/>
      <c r="AB457" s="65"/>
      <c r="AC457" s="65"/>
      <c r="AD457" s="65"/>
      <c r="AE457" s="66"/>
      <c r="AF457" s="66"/>
      <c r="AG457" s="66"/>
      <c r="AH457" s="66"/>
      <c r="AI457" s="65"/>
      <c r="AJ457" s="65"/>
      <c r="AK457" s="65"/>
      <c r="AL457" s="65"/>
      <c r="AM457" s="65"/>
      <c r="AN457" s="65"/>
      <c r="AO457" s="65"/>
      <c r="AP457" s="65"/>
      <c r="AQ457" s="65"/>
      <c r="AR457" s="100">
        <v>1432.3</v>
      </c>
      <c r="AS457" s="65"/>
      <c r="AT457" s="65"/>
      <c r="AU457" s="65"/>
      <c r="AV457" s="65"/>
      <c r="AW457" s="65"/>
      <c r="AX457" s="65"/>
      <c r="AY457" s="65"/>
      <c r="AZ457" s="65"/>
      <c r="BA457" s="65"/>
      <c r="BB457" s="65"/>
      <c r="BC457" s="65"/>
      <c r="BD457" s="65"/>
      <c r="BE457" s="65"/>
      <c r="BF457" s="65"/>
      <c r="BG457" s="65"/>
      <c r="BH457" s="65"/>
      <c r="BI457" s="65"/>
      <c r="BJ457" s="65"/>
      <c r="BK457" s="65">
        <v>0</v>
      </c>
      <c r="BL457" s="65">
        <v>0</v>
      </c>
      <c r="BM457" s="65">
        <v>0</v>
      </c>
      <c r="BN457" s="65">
        <f t="shared" si="2257"/>
        <v>0</v>
      </c>
      <c r="BO457" s="67">
        <f t="shared" si="2258"/>
        <v>1432.3</v>
      </c>
      <c r="BP457" s="65">
        <f t="shared" si="2259"/>
        <v>1432.3</v>
      </c>
      <c r="BQ457" s="65">
        <f t="shared" si="2260"/>
        <v>0</v>
      </c>
      <c r="BR457" s="65">
        <f t="shared" si="2261"/>
        <v>0</v>
      </c>
      <c r="BS457" s="65">
        <f t="shared" si="2262"/>
        <v>0</v>
      </c>
      <c r="BT457" s="65">
        <f t="shared" si="2263"/>
        <v>0</v>
      </c>
      <c r="BU457" s="65">
        <f t="shared" si="2264"/>
        <v>1432.3</v>
      </c>
      <c r="BV457" s="65">
        <f t="shared" si="2265"/>
        <v>0</v>
      </c>
      <c r="BW457" s="65">
        <f t="shared" si="2266"/>
        <v>1432.3</v>
      </c>
      <c r="BX457" s="6"/>
      <c r="BY457" s="6"/>
      <c r="BZ457" s="6"/>
      <c r="CA457" s="6"/>
      <c r="CB457" s="6"/>
      <c r="CC457" s="6"/>
      <c r="CD457" s="6"/>
      <c r="CE457" s="6"/>
      <c r="CF457" s="6"/>
      <c r="CG457" s="6"/>
    </row>
    <row r="458" spans="1:85" ht="15.75">
      <c r="A458" s="41"/>
      <c r="B458" s="42"/>
      <c r="C458" s="43"/>
      <c r="D458" s="44" t="s">
        <v>584</v>
      </c>
      <c r="E458" s="45">
        <f t="shared" ref="E458:H458" si="2360">SUM(E459+E468)</f>
        <v>0</v>
      </c>
      <c r="F458" s="45">
        <f t="shared" si="2360"/>
        <v>0</v>
      </c>
      <c r="G458" s="45">
        <f t="shared" si="2360"/>
        <v>0</v>
      </c>
      <c r="H458" s="45">
        <f t="shared" si="2360"/>
        <v>100000</v>
      </c>
      <c r="I458" s="47">
        <f t="shared" si="2239"/>
        <v>0</v>
      </c>
      <c r="J458" s="47">
        <f t="shared" si="2240"/>
        <v>0</v>
      </c>
      <c r="K458" s="45">
        <f t="shared" ref="K458:W458" si="2361">SUM(K459+K468)</f>
        <v>0</v>
      </c>
      <c r="L458" s="45">
        <f t="shared" si="2361"/>
        <v>0</v>
      </c>
      <c r="M458" s="45">
        <f t="shared" si="2361"/>
        <v>0</v>
      </c>
      <c r="N458" s="45">
        <f t="shared" si="2361"/>
        <v>0</v>
      </c>
      <c r="O458" s="45">
        <f t="shared" si="2361"/>
        <v>0</v>
      </c>
      <c r="P458" s="45">
        <f t="shared" si="2361"/>
        <v>0</v>
      </c>
      <c r="Q458" s="45">
        <f t="shared" si="2361"/>
        <v>0</v>
      </c>
      <c r="R458" s="45">
        <f t="shared" si="2361"/>
        <v>0</v>
      </c>
      <c r="S458" s="45">
        <f t="shared" si="2361"/>
        <v>0</v>
      </c>
      <c r="T458" s="45">
        <f t="shared" si="2361"/>
        <v>0</v>
      </c>
      <c r="U458" s="45">
        <f t="shared" si="2361"/>
        <v>0</v>
      </c>
      <c r="V458" s="45">
        <f t="shared" si="2361"/>
        <v>0</v>
      </c>
      <c r="W458" s="45">
        <f t="shared" si="2361"/>
        <v>0</v>
      </c>
      <c r="X458" s="50">
        <f t="shared" ref="X458:Y458" si="2362">IF(O458&gt;0,O458/K458,0)</f>
        <v>0</v>
      </c>
      <c r="Y458" s="50">
        <f t="shared" si="2362"/>
        <v>0</v>
      </c>
      <c r="Z458" s="50">
        <f t="shared" si="1658"/>
        <v>0</v>
      </c>
      <c r="AA458" s="45">
        <f t="shared" ref="AA458:BW458" si="2363">SUM(AA459+AA468)</f>
        <v>0</v>
      </c>
      <c r="AB458" s="45">
        <f t="shared" si="2363"/>
        <v>0</v>
      </c>
      <c r="AC458" s="45">
        <f t="shared" si="2363"/>
        <v>0</v>
      </c>
      <c r="AD458" s="45">
        <f t="shared" si="2363"/>
        <v>0</v>
      </c>
      <c r="AE458" s="45">
        <f t="shared" si="2363"/>
        <v>0</v>
      </c>
      <c r="AF458" s="45">
        <f t="shared" si="2363"/>
        <v>0</v>
      </c>
      <c r="AG458" s="45">
        <f t="shared" si="2363"/>
        <v>0</v>
      </c>
      <c r="AH458" s="45">
        <f t="shared" si="2363"/>
        <v>0</v>
      </c>
      <c r="AI458" s="45">
        <f t="shared" si="2363"/>
        <v>0</v>
      </c>
      <c r="AJ458" s="45">
        <f t="shared" si="2363"/>
        <v>0</v>
      </c>
      <c r="AK458" s="45">
        <f t="shared" si="2363"/>
        <v>0</v>
      </c>
      <c r="AL458" s="45">
        <f t="shared" si="2363"/>
        <v>0</v>
      </c>
      <c r="AM458" s="45">
        <f t="shared" si="2363"/>
        <v>0</v>
      </c>
      <c r="AN458" s="45">
        <f t="shared" si="2363"/>
        <v>0</v>
      </c>
      <c r="AO458" s="45">
        <f t="shared" si="2363"/>
        <v>0</v>
      </c>
      <c r="AP458" s="45">
        <f t="shared" si="2363"/>
        <v>0</v>
      </c>
      <c r="AQ458" s="45">
        <f t="shared" si="2363"/>
        <v>0</v>
      </c>
      <c r="AR458" s="45">
        <f t="shared" si="2363"/>
        <v>0</v>
      </c>
      <c r="AS458" s="45">
        <f t="shared" si="2363"/>
        <v>0</v>
      </c>
      <c r="AT458" s="45">
        <f t="shared" si="2363"/>
        <v>0</v>
      </c>
      <c r="AU458" s="45">
        <f t="shared" si="2363"/>
        <v>0</v>
      </c>
      <c r="AV458" s="45">
        <f t="shared" si="2363"/>
        <v>0</v>
      </c>
      <c r="AW458" s="45">
        <f t="shared" si="2363"/>
        <v>0</v>
      </c>
      <c r="AX458" s="45">
        <f t="shared" si="2363"/>
        <v>0</v>
      </c>
      <c r="AY458" s="45">
        <f t="shared" si="2363"/>
        <v>0</v>
      </c>
      <c r="AZ458" s="45">
        <f t="shared" si="2363"/>
        <v>0</v>
      </c>
      <c r="BA458" s="45">
        <f t="shared" si="2363"/>
        <v>0</v>
      </c>
      <c r="BB458" s="45">
        <f t="shared" si="2363"/>
        <v>0</v>
      </c>
      <c r="BC458" s="45">
        <f t="shared" si="2363"/>
        <v>0</v>
      </c>
      <c r="BD458" s="45">
        <f t="shared" si="2363"/>
        <v>0</v>
      </c>
      <c r="BE458" s="45">
        <f t="shared" si="2363"/>
        <v>0</v>
      </c>
      <c r="BF458" s="45">
        <f t="shared" si="2363"/>
        <v>0</v>
      </c>
      <c r="BG458" s="45">
        <f t="shared" si="2363"/>
        <v>0</v>
      </c>
      <c r="BH458" s="45">
        <f t="shared" si="2363"/>
        <v>0</v>
      </c>
      <c r="BI458" s="45">
        <f t="shared" si="2363"/>
        <v>0</v>
      </c>
      <c r="BJ458" s="45">
        <f t="shared" si="2363"/>
        <v>0</v>
      </c>
      <c r="BK458" s="45">
        <f t="shared" si="2363"/>
        <v>0</v>
      </c>
      <c r="BL458" s="45">
        <f t="shared" si="2363"/>
        <v>0</v>
      </c>
      <c r="BM458" s="45">
        <f t="shared" si="2363"/>
        <v>0</v>
      </c>
      <c r="BN458" s="45">
        <f t="shared" si="2363"/>
        <v>0</v>
      </c>
      <c r="BO458" s="45">
        <f t="shared" si="2363"/>
        <v>0</v>
      </c>
      <c r="BP458" s="45">
        <f t="shared" si="2363"/>
        <v>0</v>
      </c>
      <c r="BQ458" s="45">
        <f t="shared" si="2363"/>
        <v>0</v>
      </c>
      <c r="BR458" s="45">
        <f t="shared" si="2363"/>
        <v>0</v>
      </c>
      <c r="BS458" s="45">
        <f t="shared" si="2363"/>
        <v>0</v>
      </c>
      <c r="BT458" s="45">
        <f t="shared" si="2363"/>
        <v>0</v>
      </c>
      <c r="BU458" s="45">
        <f t="shared" si="2363"/>
        <v>0</v>
      </c>
      <c r="BV458" s="45">
        <f t="shared" si="2363"/>
        <v>0</v>
      </c>
      <c r="BW458" s="45">
        <f t="shared" si="2363"/>
        <v>0</v>
      </c>
      <c r="BX458" s="51"/>
      <c r="BY458" s="51"/>
      <c r="BZ458" s="51"/>
      <c r="CA458" s="51"/>
      <c r="CB458" s="51"/>
      <c r="CC458" s="51"/>
      <c r="CD458" s="51"/>
      <c r="CE458" s="51"/>
      <c r="CF458" s="51"/>
      <c r="CG458" s="51"/>
    </row>
    <row r="459" spans="1:85" ht="15.75" customHeight="1">
      <c r="A459" s="68"/>
      <c r="B459" s="103"/>
      <c r="C459" s="68" t="s">
        <v>585</v>
      </c>
      <c r="D459" s="105" t="s">
        <v>586</v>
      </c>
      <c r="E459" s="99">
        <v>0</v>
      </c>
      <c r="F459" s="99">
        <v>0</v>
      </c>
      <c r="G459" s="58">
        <f>E459-F459</f>
        <v>0</v>
      </c>
      <c r="H459" s="56">
        <v>100000</v>
      </c>
      <c r="I459" s="59">
        <f t="shared" si="2239"/>
        <v>0</v>
      </c>
      <c r="J459" s="59">
        <f t="shared" si="2240"/>
        <v>0</v>
      </c>
      <c r="K459" s="74">
        <v>0</v>
      </c>
      <c r="L459" s="74">
        <v>0</v>
      </c>
      <c r="M459" s="74">
        <v>0</v>
      </c>
      <c r="N459" s="74">
        <v>0</v>
      </c>
      <c r="O459" s="61">
        <f t="shared" ref="O459:Q459" si="2364">AA459+AD459+AG459+AJ459+AM459+AP459+AS459+AV459+AY459+BB459+BE459+BH459</f>
        <v>0</v>
      </c>
      <c r="P459" s="61">
        <f t="shared" si="2364"/>
        <v>0</v>
      </c>
      <c r="Q459" s="61">
        <f t="shared" si="2364"/>
        <v>0</v>
      </c>
      <c r="R459" s="61">
        <f t="shared" ref="R459:T459" si="2365">IF(BK459=0,SUM(AA459+AD459+AG459+AJ459+AM459+AP459+AS459+AV459+AY459+BB459+BE459+BH459),BK459)</f>
        <v>0</v>
      </c>
      <c r="S459" s="61">
        <f t="shared" si="2365"/>
        <v>0</v>
      </c>
      <c r="T459" s="61">
        <f t="shared" si="2365"/>
        <v>0</v>
      </c>
      <c r="U459" s="63">
        <f>K459-O459</f>
        <v>0</v>
      </c>
      <c r="V459" s="63">
        <f>L459-M459-S459</f>
        <v>0</v>
      </c>
      <c r="W459" s="63">
        <f>N459-Q459</f>
        <v>0</v>
      </c>
      <c r="X459" s="64">
        <f t="shared" ref="X459:Y459" si="2366">IF(O459&gt;0,O459/K459,0)</f>
        <v>0</v>
      </c>
      <c r="Y459" s="64">
        <f t="shared" si="2366"/>
        <v>0</v>
      </c>
      <c r="Z459" s="64">
        <f t="shared" si="1658"/>
        <v>0</v>
      </c>
      <c r="AA459" s="65"/>
      <c r="AB459" s="65"/>
      <c r="AC459" s="65"/>
      <c r="AD459" s="65"/>
      <c r="AE459" s="66"/>
      <c r="AF459" s="66"/>
      <c r="AG459" s="66"/>
      <c r="AH459" s="66"/>
      <c r="AI459" s="65"/>
      <c r="AJ459" s="65"/>
      <c r="AK459" s="65"/>
      <c r="AL459" s="65"/>
      <c r="AM459" s="65"/>
      <c r="AN459" s="65"/>
      <c r="AO459" s="65"/>
      <c r="AP459" s="65"/>
      <c r="AQ459" s="65"/>
      <c r="AR459" s="65"/>
      <c r="AS459" s="65"/>
      <c r="AT459" s="65"/>
      <c r="AU459" s="65"/>
      <c r="AV459" s="65"/>
      <c r="AW459" s="65"/>
      <c r="AX459" s="65"/>
      <c r="AY459" s="65"/>
      <c r="AZ459" s="65"/>
      <c r="BA459" s="65"/>
      <c r="BB459" s="65"/>
      <c r="BC459" s="65"/>
      <c r="BD459" s="65"/>
      <c r="BE459" s="65"/>
      <c r="BF459" s="65"/>
      <c r="BG459" s="65"/>
      <c r="BH459" s="65"/>
      <c r="BI459" s="65"/>
      <c r="BJ459" s="65"/>
      <c r="BK459" s="65">
        <v>0</v>
      </c>
      <c r="BL459" s="65">
        <v>0</v>
      </c>
      <c r="BM459" s="65">
        <v>0</v>
      </c>
      <c r="BN459" s="65">
        <f>IF(O459-BK459&gt;0,O459-BK459,0)</f>
        <v>0</v>
      </c>
      <c r="BO459" s="67">
        <f>IF(Q459-BM459&gt;0,Q459-BM459,0)</f>
        <v>0</v>
      </c>
      <c r="BP459" s="65">
        <f>IF(BN459+BO459&gt;0,BN459+BO459,0)</f>
        <v>0</v>
      </c>
      <c r="BQ459" s="65">
        <f>IF(U459=0,0,U459)</f>
        <v>0</v>
      </c>
      <c r="BR459" s="65">
        <f>IF(W459=0,0,W459)</f>
        <v>0</v>
      </c>
      <c r="BS459" s="65">
        <f>IF(BQ459+BR459&gt;0,BQ459+BR459,0)</f>
        <v>0</v>
      </c>
      <c r="BT459" s="65">
        <f>IF(V459&gt;0,V459,0)</f>
        <v>0</v>
      </c>
      <c r="BU459" s="65">
        <f>IF(BP459=0,0,BP459)</f>
        <v>0</v>
      </c>
      <c r="BV459" s="65">
        <f>IF(BS459=0,0,BS459)</f>
        <v>0</v>
      </c>
      <c r="BW459" s="65">
        <f>IF(BP459+BT459+BV459&gt;0,BP459+BT459+BV459,0)</f>
        <v>0</v>
      </c>
      <c r="BX459" s="6"/>
      <c r="BY459" s="6"/>
      <c r="BZ459" s="6"/>
      <c r="CA459" s="6"/>
      <c r="CB459" s="6"/>
      <c r="CC459" s="6"/>
      <c r="CD459" s="6"/>
      <c r="CE459" s="6"/>
      <c r="CF459" s="6"/>
      <c r="CG459" s="6"/>
    </row>
    <row r="460" spans="1:85" ht="15.75">
      <c r="A460" s="75"/>
      <c r="B460" s="76"/>
      <c r="C460" s="77"/>
      <c r="D460" s="78" t="s">
        <v>137</v>
      </c>
      <c r="E460" s="45">
        <f t="shared" ref="E460:H460" si="2367">SUM(E461:E470)</f>
        <v>0</v>
      </c>
      <c r="F460" s="45">
        <f t="shared" si="2367"/>
        <v>0</v>
      </c>
      <c r="G460" s="45">
        <f t="shared" si="2367"/>
        <v>0</v>
      </c>
      <c r="H460" s="45">
        <f t="shared" si="2367"/>
        <v>1348645.56</v>
      </c>
      <c r="I460" s="47">
        <f t="shared" si="2239"/>
        <v>0</v>
      </c>
      <c r="J460" s="47">
        <f t="shared" si="2240"/>
        <v>0</v>
      </c>
      <c r="K460" s="45">
        <f t="shared" ref="K460:W460" si="2368">SUM(K461:K470)</f>
        <v>0</v>
      </c>
      <c r="L460" s="45">
        <f t="shared" si="2368"/>
        <v>61844.86</v>
      </c>
      <c r="M460" s="45">
        <f t="shared" si="2368"/>
        <v>0</v>
      </c>
      <c r="N460" s="45">
        <f t="shared" si="2368"/>
        <v>1190774.55</v>
      </c>
      <c r="O460" s="45">
        <f t="shared" si="2368"/>
        <v>0</v>
      </c>
      <c r="P460" s="45">
        <f t="shared" si="2368"/>
        <v>61844.86</v>
      </c>
      <c r="Q460" s="45">
        <f t="shared" si="2368"/>
        <v>459087.08999999997</v>
      </c>
      <c r="R460" s="45">
        <f t="shared" si="2368"/>
        <v>0</v>
      </c>
      <c r="S460" s="45">
        <f t="shared" si="2368"/>
        <v>61844.86</v>
      </c>
      <c r="T460" s="45">
        <f t="shared" si="2368"/>
        <v>459087.08999999997</v>
      </c>
      <c r="U460" s="45">
        <f t="shared" si="2368"/>
        <v>0</v>
      </c>
      <c r="V460" s="45">
        <f t="shared" si="2368"/>
        <v>0</v>
      </c>
      <c r="W460" s="45">
        <f t="shared" si="2368"/>
        <v>731687.46</v>
      </c>
      <c r="X460" s="50">
        <f t="shared" ref="X460:Y460" si="2369">IF(O460&gt;0,O460/K460,0)</f>
        <v>0</v>
      </c>
      <c r="Y460" s="50">
        <f t="shared" si="2369"/>
        <v>1</v>
      </c>
      <c r="Z460" s="50">
        <f t="shared" si="1658"/>
        <v>0.38553653166336144</v>
      </c>
      <c r="AA460" s="45">
        <f t="shared" ref="AA460:BW460" si="2370">SUM(AA461:AA470)</f>
        <v>0</v>
      </c>
      <c r="AB460" s="45">
        <f t="shared" si="2370"/>
        <v>0</v>
      </c>
      <c r="AC460" s="45">
        <f t="shared" si="2370"/>
        <v>0</v>
      </c>
      <c r="AD460" s="45">
        <f t="shared" si="2370"/>
        <v>0</v>
      </c>
      <c r="AE460" s="45">
        <f t="shared" si="2370"/>
        <v>23250.94</v>
      </c>
      <c r="AF460" s="45">
        <f t="shared" si="2370"/>
        <v>61461.08</v>
      </c>
      <c r="AG460" s="45">
        <f t="shared" si="2370"/>
        <v>0</v>
      </c>
      <c r="AH460" s="45">
        <f t="shared" si="2370"/>
        <v>17449.84</v>
      </c>
      <c r="AI460" s="45">
        <f t="shared" si="2370"/>
        <v>86382.11</v>
      </c>
      <c r="AJ460" s="45">
        <f t="shared" si="2370"/>
        <v>0</v>
      </c>
      <c r="AK460" s="45">
        <f t="shared" si="2370"/>
        <v>16137.81</v>
      </c>
      <c r="AL460" s="45">
        <f t="shared" si="2370"/>
        <v>103944.94</v>
      </c>
      <c r="AM460" s="45">
        <f t="shared" si="2370"/>
        <v>0</v>
      </c>
      <c r="AN460" s="45">
        <f t="shared" si="2370"/>
        <v>5006.2700000000004</v>
      </c>
      <c r="AO460" s="45">
        <f t="shared" si="2370"/>
        <v>103938.69</v>
      </c>
      <c r="AP460" s="45">
        <f t="shared" si="2370"/>
        <v>0</v>
      </c>
      <c r="AQ460" s="45">
        <f t="shared" si="2370"/>
        <v>0</v>
      </c>
      <c r="AR460" s="45">
        <f t="shared" si="2370"/>
        <v>103360.27</v>
      </c>
      <c r="AS460" s="45">
        <f t="shared" si="2370"/>
        <v>0</v>
      </c>
      <c r="AT460" s="45">
        <f t="shared" si="2370"/>
        <v>0</v>
      </c>
      <c r="AU460" s="45">
        <f t="shared" si="2370"/>
        <v>0</v>
      </c>
      <c r="AV460" s="45">
        <f t="shared" si="2370"/>
        <v>0</v>
      </c>
      <c r="AW460" s="45">
        <f t="shared" si="2370"/>
        <v>0</v>
      </c>
      <c r="AX460" s="45">
        <f t="shared" si="2370"/>
        <v>0</v>
      </c>
      <c r="AY460" s="45">
        <f t="shared" si="2370"/>
        <v>0</v>
      </c>
      <c r="AZ460" s="45">
        <f t="shared" si="2370"/>
        <v>0</v>
      </c>
      <c r="BA460" s="45">
        <f t="shared" si="2370"/>
        <v>0</v>
      </c>
      <c r="BB460" s="45">
        <f t="shared" si="2370"/>
        <v>0</v>
      </c>
      <c r="BC460" s="45">
        <f t="shared" si="2370"/>
        <v>0</v>
      </c>
      <c r="BD460" s="45">
        <f t="shared" si="2370"/>
        <v>0</v>
      </c>
      <c r="BE460" s="45">
        <f t="shared" si="2370"/>
        <v>0</v>
      </c>
      <c r="BF460" s="45">
        <f t="shared" si="2370"/>
        <v>0</v>
      </c>
      <c r="BG460" s="45">
        <f t="shared" si="2370"/>
        <v>0</v>
      </c>
      <c r="BH460" s="45">
        <f t="shared" si="2370"/>
        <v>0</v>
      </c>
      <c r="BI460" s="45">
        <f t="shared" si="2370"/>
        <v>0</v>
      </c>
      <c r="BJ460" s="45">
        <f t="shared" si="2370"/>
        <v>0</v>
      </c>
      <c r="BK460" s="45">
        <f t="shared" si="2370"/>
        <v>0</v>
      </c>
      <c r="BL460" s="45">
        <f t="shared" si="2370"/>
        <v>0</v>
      </c>
      <c r="BM460" s="45">
        <f t="shared" si="2370"/>
        <v>0</v>
      </c>
      <c r="BN460" s="45">
        <f t="shared" si="2370"/>
        <v>0</v>
      </c>
      <c r="BO460" s="45">
        <f t="shared" si="2370"/>
        <v>459087.08999999997</v>
      </c>
      <c r="BP460" s="45">
        <f t="shared" si="2370"/>
        <v>459087.08999999997</v>
      </c>
      <c r="BQ460" s="45">
        <f t="shared" si="2370"/>
        <v>0</v>
      </c>
      <c r="BR460" s="45">
        <f t="shared" si="2370"/>
        <v>731687.46</v>
      </c>
      <c r="BS460" s="45">
        <f t="shared" si="2370"/>
        <v>731687.46</v>
      </c>
      <c r="BT460" s="45">
        <f t="shared" si="2370"/>
        <v>0</v>
      </c>
      <c r="BU460" s="45">
        <f t="shared" si="2370"/>
        <v>459087.08999999997</v>
      </c>
      <c r="BV460" s="45">
        <f t="shared" si="2370"/>
        <v>731687.46</v>
      </c>
      <c r="BW460" s="45">
        <f t="shared" si="2370"/>
        <v>1190774.55</v>
      </c>
      <c r="BX460" s="51"/>
      <c r="BY460" s="51"/>
      <c r="BZ460" s="51"/>
      <c r="CA460" s="51"/>
      <c r="CB460" s="51"/>
      <c r="CC460" s="51"/>
      <c r="CD460" s="51"/>
      <c r="CE460" s="51"/>
      <c r="CF460" s="51"/>
      <c r="CG460" s="51"/>
    </row>
    <row r="461" spans="1:85" ht="15.75" customHeight="1">
      <c r="A461" s="104" t="s">
        <v>587</v>
      </c>
      <c r="B461" s="69" t="s">
        <v>588</v>
      </c>
      <c r="C461" s="68" t="s">
        <v>138</v>
      </c>
      <c r="D461" s="190" t="s">
        <v>589</v>
      </c>
      <c r="E461" s="99">
        <v>0</v>
      </c>
      <c r="F461" s="99">
        <v>0</v>
      </c>
      <c r="G461" s="58">
        <f t="shared" ref="G461:G470" si="2371">E461-F461</f>
        <v>0</v>
      </c>
      <c r="H461" s="56">
        <v>108645.56</v>
      </c>
      <c r="I461" s="59">
        <f t="shared" si="2239"/>
        <v>0</v>
      </c>
      <c r="J461" s="59">
        <f t="shared" si="2240"/>
        <v>0</v>
      </c>
      <c r="K461" s="60">
        <v>0</v>
      </c>
      <c r="L461" s="100">
        <f>15241.28+3353.08</f>
        <v>18594.36</v>
      </c>
      <c r="M461" s="100">
        <v>0</v>
      </c>
      <c r="N461" s="60">
        <f>15241.28+15241.28-14705.24+15241.28+60965.12+60965.12</f>
        <v>152948.84</v>
      </c>
      <c r="O461" s="61">
        <f t="shared" ref="O461:Q461" si="2372">AA461+AD461+AG461+AJ461+AM461+AP461+AS461+AV461+AY461+BB461+BE461+BH461</f>
        <v>0</v>
      </c>
      <c r="P461" s="61">
        <f t="shared" si="2372"/>
        <v>18594.36</v>
      </c>
      <c r="Q461" s="116">
        <f t="shared" si="2372"/>
        <v>46258.879999999997</v>
      </c>
      <c r="R461" s="61">
        <f t="shared" ref="R461:T461" si="2373">IF(BK461=0,SUM(AA461+AD461+AG461+AJ461+AM461+AP461+AS461+AV461+AY461+BB461+BE461+BH461),BK461)</f>
        <v>0</v>
      </c>
      <c r="S461" s="61">
        <f t="shared" si="2373"/>
        <v>18594.36</v>
      </c>
      <c r="T461" s="61">
        <f t="shared" si="2373"/>
        <v>46258.879999999997</v>
      </c>
      <c r="U461" s="63">
        <f t="shared" ref="U461:U470" si="2374">K461-O461</f>
        <v>0</v>
      </c>
      <c r="V461" s="63">
        <f t="shared" ref="V461:V470" si="2375">L461-M461-S461</f>
        <v>0</v>
      </c>
      <c r="W461" s="62">
        <f t="shared" ref="W461:W470" si="2376">N461-Q461</f>
        <v>106689.95999999999</v>
      </c>
      <c r="X461" s="64">
        <f t="shared" ref="X461:Y461" si="2377">IF(O461&gt;0,O461/K461,0)</f>
        <v>0</v>
      </c>
      <c r="Y461" s="64">
        <f t="shared" si="2377"/>
        <v>1</v>
      </c>
      <c r="Z461" s="64">
        <f t="shared" si="1658"/>
        <v>0.30244675278347977</v>
      </c>
      <c r="AA461" s="65"/>
      <c r="AB461" s="65"/>
      <c r="AC461" s="65"/>
      <c r="AD461" s="65"/>
      <c r="AE461" s="66">
        <f>1676.54+1676.54+535.04</f>
        <v>3888.12</v>
      </c>
      <c r="AF461" s="66"/>
      <c r="AG461" s="66"/>
      <c r="AH461" s="113">
        <v>14706.24</v>
      </c>
      <c r="AI461" s="100">
        <v>535.04</v>
      </c>
      <c r="AJ461" s="65"/>
      <c r="AK461" s="65"/>
      <c r="AL461" s="100">
        <v>15241.28</v>
      </c>
      <c r="AM461" s="65"/>
      <c r="AN461" s="65"/>
      <c r="AO461" s="65">
        <f>15241.28</f>
        <v>15241.28</v>
      </c>
      <c r="AP461" s="65"/>
      <c r="AQ461" s="65"/>
      <c r="AR461" s="65">
        <f>15241.28</f>
        <v>15241.28</v>
      </c>
      <c r="AS461" s="65"/>
      <c r="AT461" s="65"/>
      <c r="AU461" s="65"/>
      <c r="AV461" s="65"/>
      <c r="AW461" s="65"/>
      <c r="AX461" s="65"/>
      <c r="AY461" s="65"/>
      <c r="AZ461" s="65"/>
      <c r="BA461" s="65"/>
      <c r="BB461" s="65"/>
      <c r="BC461" s="65"/>
      <c r="BD461" s="65"/>
      <c r="BE461" s="65"/>
      <c r="BF461" s="65"/>
      <c r="BG461" s="65"/>
      <c r="BH461" s="65"/>
      <c r="BI461" s="65"/>
      <c r="BJ461" s="65"/>
      <c r="BK461" s="65">
        <v>0</v>
      </c>
      <c r="BL461" s="65">
        <v>0</v>
      </c>
      <c r="BM461" s="65">
        <v>0</v>
      </c>
      <c r="BN461" s="65">
        <f t="shared" ref="BN461:BN462" si="2378">IF(O461-BK461&gt;0,O461-BK461,0)</f>
        <v>0</v>
      </c>
      <c r="BO461" s="67">
        <f t="shared" ref="BO461:BO462" si="2379">IF(Q461-BM461&gt;0,Q461-BM461,0)</f>
        <v>46258.879999999997</v>
      </c>
      <c r="BP461" s="65">
        <f t="shared" ref="BP461:BP462" si="2380">IF(BN461+BO461&gt;0,BN461+BO461,0)</f>
        <v>46258.879999999997</v>
      </c>
      <c r="BQ461" s="65">
        <f t="shared" ref="BQ461:BQ462" si="2381">IF(U461=0,0,U461)</f>
        <v>0</v>
      </c>
      <c r="BR461" s="65">
        <f t="shared" ref="BR461:BR462" si="2382">IF(W461=0,0,W461)</f>
        <v>106689.95999999999</v>
      </c>
      <c r="BS461" s="65">
        <f t="shared" ref="BS461:BS462" si="2383">IF(BQ461+BR461&gt;0,BQ461+BR461,0)</f>
        <v>106689.95999999999</v>
      </c>
      <c r="BT461" s="65">
        <f t="shared" ref="BT461:BT462" si="2384">IF(V461&gt;0,V461,0)</f>
        <v>0</v>
      </c>
      <c r="BU461" s="65">
        <f t="shared" ref="BU461:BU462" si="2385">IF(BP461=0,0,BP461)</f>
        <v>46258.879999999997</v>
      </c>
      <c r="BV461" s="65">
        <f t="shared" ref="BV461:BV462" si="2386">IF(BS461=0,0,BS461)</f>
        <v>106689.95999999999</v>
      </c>
      <c r="BW461" s="65">
        <f t="shared" ref="BW461:BW462" si="2387">IF(BP461+BT461+BV461&gt;0,BP461+BT461+BV461,0)</f>
        <v>152948.84</v>
      </c>
      <c r="BX461" s="6"/>
      <c r="BY461" s="6"/>
      <c r="BZ461" s="6"/>
      <c r="CA461" s="6"/>
      <c r="CB461" s="6"/>
      <c r="CC461" s="6"/>
      <c r="CD461" s="6"/>
      <c r="CE461" s="6"/>
      <c r="CF461" s="6"/>
      <c r="CG461" s="6"/>
    </row>
    <row r="462" spans="1:85" ht="15.75" customHeight="1">
      <c r="A462" s="104" t="s">
        <v>590</v>
      </c>
      <c r="B462" s="68" t="s">
        <v>591</v>
      </c>
      <c r="C462" s="68" t="s">
        <v>138</v>
      </c>
      <c r="D462" s="190" t="s">
        <v>592</v>
      </c>
      <c r="E462" s="99">
        <v>0</v>
      </c>
      <c r="F462" s="99">
        <v>0</v>
      </c>
      <c r="G462" s="58">
        <f t="shared" si="2371"/>
        <v>0</v>
      </c>
      <c r="H462" s="56">
        <v>43000</v>
      </c>
      <c r="I462" s="59">
        <f t="shared" si="2239"/>
        <v>0</v>
      </c>
      <c r="J462" s="59">
        <f t="shared" si="2240"/>
        <v>0</v>
      </c>
      <c r="K462" s="60">
        <v>0</v>
      </c>
      <c r="L462" s="100">
        <f>3536.79+778.1</f>
        <v>4314.8900000000003</v>
      </c>
      <c r="M462" s="100">
        <v>0</v>
      </c>
      <c r="N462" s="60">
        <f>3536.79+3536.79-2614.41+3582.67+14330.68+14330.68</f>
        <v>36703.199999999997</v>
      </c>
      <c r="O462" s="61">
        <f t="shared" ref="O462:Q462" si="2388">AA462+AD462+AG462+AJ462+AM462+AP462+AS462+AV462+AY462+BB462+BE462+BH462</f>
        <v>0</v>
      </c>
      <c r="P462" s="61">
        <f t="shared" si="2388"/>
        <v>4314.8899999999994</v>
      </c>
      <c r="Q462" s="116">
        <f t="shared" si="2388"/>
        <v>11623.51</v>
      </c>
      <c r="R462" s="61">
        <f t="shared" ref="R462:T462" si="2389">IF(BK462=0,SUM(AA462+AD462+AG462+AJ462+AM462+AP462+AS462+AV462+AY462+BB462+BE462+BH462),BK462)</f>
        <v>0</v>
      </c>
      <c r="S462" s="61">
        <f t="shared" si="2389"/>
        <v>4314.8899999999994</v>
      </c>
      <c r="T462" s="61">
        <f t="shared" si="2389"/>
        <v>11623.51</v>
      </c>
      <c r="U462" s="63">
        <f t="shared" si="2374"/>
        <v>0</v>
      </c>
      <c r="V462" s="63">
        <f t="shared" si="2375"/>
        <v>0</v>
      </c>
      <c r="W462" s="62">
        <f t="shared" si="2376"/>
        <v>25079.689999999995</v>
      </c>
      <c r="X462" s="64">
        <f t="shared" ref="X462:Y462" si="2390">IF(O462&gt;0,O462/K462,0)</f>
        <v>0</v>
      </c>
      <c r="Y462" s="64">
        <f t="shared" si="2390"/>
        <v>0.99999999999999978</v>
      </c>
      <c r="Z462" s="64">
        <f t="shared" si="1658"/>
        <v>0.31668928049870315</v>
      </c>
      <c r="AA462" s="65"/>
      <c r="AB462" s="65"/>
      <c r="AC462" s="65"/>
      <c r="AD462" s="65"/>
      <c r="AE462" s="66">
        <f>389.05+389.05+793.19</f>
        <v>1571.29</v>
      </c>
      <c r="AF462" s="66"/>
      <c r="AG462" s="66"/>
      <c r="AH462" s="113">
        <v>2743.6</v>
      </c>
      <c r="AI462" s="100">
        <v>875.5</v>
      </c>
      <c r="AJ462" s="65"/>
      <c r="AK462" s="65"/>
      <c r="AL462" s="100">
        <v>3582.67</v>
      </c>
      <c r="AM462" s="65"/>
      <c r="AN462" s="65"/>
      <c r="AO462" s="100">
        <v>3582.67</v>
      </c>
      <c r="AP462" s="65"/>
      <c r="AQ462" s="65"/>
      <c r="AR462" s="65">
        <f>3582.67</f>
        <v>3582.67</v>
      </c>
      <c r="AS462" s="65"/>
      <c r="AT462" s="65"/>
      <c r="AU462" s="65"/>
      <c r="AV462" s="65"/>
      <c r="AW462" s="65"/>
      <c r="AX462" s="65"/>
      <c r="AY462" s="65"/>
      <c r="AZ462" s="65"/>
      <c r="BA462" s="65"/>
      <c r="BB462" s="65"/>
      <c r="BC462" s="65"/>
      <c r="BD462" s="65"/>
      <c r="BE462" s="65"/>
      <c r="BF462" s="65"/>
      <c r="BG462" s="65"/>
      <c r="BH462" s="65"/>
      <c r="BI462" s="65"/>
      <c r="BJ462" s="65"/>
      <c r="BK462" s="65">
        <v>0</v>
      </c>
      <c r="BL462" s="65">
        <v>0</v>
      </c>
      <c r="BM462" s="65">
        <v>0</v>
      </c>
      <c r="BN462" s="65">
        <f t="shared" si="2378"/>
        <v>0</v>
      </c>
      <c r="BO462" s="67">
        <f t="shared" si="2379"/>
        <v>11623.51</v>
      </c>
      <c r="BP462" s="65">
        <f t="shared" si="2380"/>
        <v>11623.51</v>
      </c>
      <c r="BQ462" s="65">
        <f t="shared" si="2381"/>
        <v>0</v>
      </c>
      <c r="BR462" s="65">
        <f t="shared" si="2382"/>
        <v>25079.689999999995</v>
      </c>
      <c r="BS462" s="65">
        <f t="shared" si="2383"/>
        <v>25079.689999999995</v>
      </c>
      <c r="BT462" s="65">
        <f t="shared" si="2384"/>
        <v>0</v>
      </c>
      <c r="BU462" s="65">
        <f t="shared" si="2385"/>
        <v>11623.51</v>
      </c>
      <c r="BV462" s="65">
        <f t="shared" si="2386"/>
        <v>25079.689999999995</v>
      </c>
      <c r="BW462" s="65">
        <f t="shared" si="2387"/>
        <v>36703.199999999997</v>
      </c>
      <c r="BX462" s="6"/>
      <c r="BY462" s="6"/>
      <c r="BZ462" s="6"/>
      <c r="CA462" s="6"/>
      <c r="CB462" s="6"/>
      <c r="CC462" s="6"/>
      <c r="CD462" s="6"/>
      <c r="CE462" s="6"/>
      <c r="CF462" s="6"/>
      <c r="CG462" s="6"/>
    </row>
    <row r="463" spans="1:85" ht="15.75" customHeight="1">
      <c r="A463" s="350"/>
      <c r="B463" s="351" t="s">
        <v>593</v>
      </c>
      <c r="C463" s="123" t="s">
        <v>138</v>
      </c>
      <c r="D463" s="352" t="s">
        <v>594</v>
      </c>
      <c r="E463" s="126">
        <v>0</v>
      </c>
      <c r="F463" s="126">
        <v>0</v>
      </c>
      <c r="G463" s="127">
        <f t="shared" si="2371"/>
        <v>0</v>
      </c>
      <c r="H463" s="127">
        <v>0</v>
      </c>
      <c r="I463" s="129">
        <f>IF(G463&gt;0,K463/G463,0)</f>
        <v>0</v>
      </c>
      <c r="J463" s="129">
        <f>IF(G463&gt;0,O463/G463,0)</f>
        <v>0</v>
      </c>
      <c r="K463" s="132">
        <v>0</v>
      </c>
      <c r="L463" s="133">
        <v>856.67</v>
      </c>
      <c r="M463" s="132">
        <v>0</v>
      </c>
      <c r="N463" s="133">
        <v>0</v>
      </c>
      <c r="O463" s="140">
        <f t="shared" ref="O463:Q463" si="2391">AA463+AD463+AG463+AJ463+AM463+AP463+AS463+AV463+AY463+BB463+BE463+BH463</f>
        <v>0</v>
      </c>
      <c r="P463" s="140">
        <f t="shared" si="2391"/>
        <v>856.67</v>
      </c>
      <c r="Q463" s="140">
        <f t="shared" si="2391"/>
        <v>0</v>
      </c>
      <c r="R463" s="140">
        <f t="shared" ref="R463:T463" si="2392">IF(BK463=0,SUM(AA463+AD463+AG463+AJ463+AM463+AP463+AS463+AV463+AY463+BB463+BE463+BH463),BK463)</f>
        <v>0</v>
      </c>
      <c r="S463" s="140">
        <f t="shared" si="2392"/>
        <v>856.67</v>
      </c>
      <c r="T463" s="140">
        <f t="shared" si="2392"/>
        <v>0</v>
      </c>
      <c r="U463" s="141">
        <f t="shared" si="2374"/>
        <v>0</v>
      </c>
      <c r="V463" s="63">
        <f t="shared" si="2375"/>
        <v>0</v>
      </c>
      <c r="W463" s="141">
        <f t="shared" si="2376"/>
        <v>0</v>
      </c>
      <c r="X463" s="142">
        <f t="shared" ref="X463:Y463" si="2393">IF(O463&gt;0,O463/K463,0)</f>
        <v>0</v>
      </c>
      <c r="Y463" s="142">
        <f t="shared" si="2393"/>
        <v>1</v>
      </c>
      <c r="Z463" s="142">
        <f>IF(Q463&gt;0,Q463/N463,0)</f>
        <v>0</v>
      </c>
      <c r="AA463" s="134"/>
      <c r="AB463" s="134"/>
      <c r="AC463" s="134"/>
      <c r="AD463" s="134"/>
      <c r="AE463" s="353">
        <v>856.67</v>
      </c>
      <c r="AF463" s="135"/>
      <c r="AG463" s="135"/>
      <c r="AH463" s="135"/>
      <c r="AI463" s="133"/>
      <c r="AJ463" s="134"/>
      <c r="AK463" s="134"/>
      <c r="AL463" s="133"/>
      <c r="AM463" s="134"/>
      <c r="AN463" s="134"/>
      <c r="AO463" s="133"/>
      <c r="AP463" s="134"/>
      <c r="AQ463" s="134"/>
      <c r="AR463" s="133"/>
      <c r="AS463" s="134"/>
      <c r="AT463" s="134"/>
      <c r="AU463" s="133"/>
      <c r="AV463" s="134"/>
      <c r="AW463" s="134"/>
      <c r="AX463" s="133"/>
      <c r="AY463" s="134"/>
      <c r="AZ463" s="134"/>
      <c r="BA463" s="134"/>
      <c r="BB463" s="134"/>
      <c r="BC463" s="134"/>
      <c r="BD463" s="134"/>
      <c r="BE463" s="134"/>
      <c r="BF463" s="134"/>
      <c r="BG463" s="134"/>
      <c r="BH463" s="134"/>
      <c r="BI463" s="134"/>
      <c r="BJ463" s="134"/>
      <c r="BK463" s="133">
        <v>0</v>
      </c>
      <c r="BL463" s="133">
        <v>0</v>
      </c>
      <c r="BM463" s="133">
        <v>0</v>
      </c>
      <c r="BN463" s="134">
        <f>IF(O463-BK463&gt;0,O463-BK463,0)</f>
        <v>0</v>
      </c>
      <c r="BO463" s="354">
        <f>IF(Q463-BM463&gt;0,Q463-BM463,0)</f>
        <v>0</v>
      </c>
      <c r="BP463" s="134">
        <f>IF(BN463+BO463&gt;0,BN463+BO463,0)</f>
        <v>0</v>
      </c>
      <c r="BQ463" s="134">
        <f>IF(U463=0,0,U463)</f>
        <v>0</v>
      </c>
      <c r="BR463" s="134">
        <f>IF(W463=0,0,W463)</f>
        <v>0</v>
      </c>
      <c r="BS463" s="134">
        <f>IF(BQ463+BR463&gt;0,BQ463+BR463,0)</f>
        <v>0</v>
      </c>
      <c r="BT463" s="134">
        <f>IF(V463&gt;0,V463,0)</f>
        <v>0</v>
      </c>
      <c r="BU463" s="134">
        <f>IF(BP463=0,0,BP463)</f>
        <v>0</v>
      </c>
      <c r="BV463" s="134">
        <f>IF(BS463=0,0,BS463)</f>
        <v>0</v>
      </c>
      <c r="BW463" s="134">
        <f>IF(BP463+BT463+BV463&gt;0,BP463+BT463+BV463,0)</f>
        <v>0</v>
      </c>
      <c r="BX463" s="136"/>
      <c r="BY463" s="136"/>
      <c r="BZ463" s="136"/>
      <c r="CA463" s="136"/>
      <c r="CB463" s="136"/>
      <c r="CC463" s="136"/>
      <c r="CD463" s="136"/>
      <c r="CE463" s="136"/>
      <c r="CF463" s="136"/>
      <c r="CG463" s="136"/>
    </row>
    <row r="464" spans="1:85" ht="15.75" customHeight="1">
      <c r="A464" s="104" t="s">
        <v>595</v>
      </c>
      <c r="B464" s="68" t="s">
        <v>596</v>
      </c>
      <c r="C464" s="68" t="s">
        <v>138</v>
      </c>
      <c r="D464" s="190" t="s">
        <v>597</v>
      </c>
      <c r="E464" s="99">
        <v>0</v>
      </c>
      <c r="F464" s="99">
        <v>0</v>
      </c>
      <c r="G464" s="58">
        <f t="shared" si="2371"/>
        <v>0</v>
      </c>
      <c r="H464" s="56">
        <v>332000</v>
      </c>
      <c r="I464" s="59">
        <f t="shared" ref="I464:I527" si="2394">IF(G464&gt;0,K464/G464,0)</f>
        <v>0</v>
      </c>
      <c r="J464" s="59">
        <f t="shared" ref="J464:J527" si="2395">IF(G464&gt;0,O464/G464,0)</f>
        <v>0</v>
      </c>
      <c r="K464" s="74">
        <v>0</v>
      </c>
      <c r="L464" s="74">
        <v>6086.4</v>
      </c>
      <c r="M464" s="74">
        <v>0</v>
      </c>
      <c r="N464" s="74">
        <f>55330.86+15537.98-4281.79+27665.43+110661.72+110661.72</f>
        <v>315575.92000000004</v>
      </c>
      <c r="O464" s="61">
        <f t="shared" ref="O464:Q464" si="2396">AA464+AD464+AG464+AJ464+AM464+AP464+AS464+AV464+AY464+BB464+BE464+BH464</f>
        <v>0</v>
      </c>
      <c r="P464" s="61">
        <f t="shared" si="2396"/>
        <v>6086.4</v>
      </c>
      <c r="Q464" s="116">
        <f t="shared" si="2396"/>
        <v>121916.91</v>
      </c>
      <c r="R464" s="61">
        <f t="shared" ref="R464:T464" si="2397">IF(BK464=0,SUM(AA464+AD464+AG464+AJ464+AM464+AP464+AS464+AV464+AY464+BB464+BE464+BH464),BK464)</f>
        <v>0</v>
      </c>
      <c r="S464" s="61">
        <f t="shared" si="2397"/>
        <v>6086.4</v>
      </c>
      <c r="T464" s="61">
        <f t="shared" si="2397"/>
        <v>121916.91</v>
      </c>
      <c r="U464" s="63">
        <f t="shared" si="2374"/>
        <v>0</v>
      </c>
      <c r="V464" s="63">
        <f t="shared" si="2375"/>
        <v>0</v>
      </c>
      <c r="W464" s="62">
        <f t="shared" si="2376"/>
        <v>193659.01000000004</v>
      </c>
      <c r="X464" s="64">
        <f t="shared" ref="X464:Y464" si="2398">IF(O464&gt;0,O464/K464,0)</f>
        <v>0</v>
      </c>
      <c r="Y464" s="64">
        <f t="shared" si="2398"/>
        <v>1</v>
      </c>
      <c r="Z464" s="64">
        <f t="shared" ref="Z464:Z527" si="2399">IF(Q464&gt;0,Q464/N464,0)</f>
        <v>0.38633147294635151</v>
      </c>
      <c r="AA464" s="65"/>
      <c r="AB464" s="65"/>
      <c r="AC464" s="65"/>
      <c r="AD464" s="65"/>
      <c r="AE464" s="66">
        <f>3043.2+3043.2</f>
        <v>6086.4</v>
      </c>
      <c r="AF464" s="113">
        <v>11255.19</v>
      </c>
      <c r="AG464" s="66"/>
      <c r="AH464" s="66"/>
      <c r="AI464" s="100">
        <v>27665.43</v>
      </c>
      <c r="AJ464" s="65"/>
      <c r="AK464" s="65"/>
      <c r="AL464" s="65">
        <f>27665.43</f>
        <v>27665.43</v>
      </c>
      <c r="AM464" s="65"/>
      <c r="AN464" s="65"/>
      <c r="AO464" s="65">
        <f>27665.43</f>
        <v>27665.43</v>
      </c>
      <c r="AP464" s="65"/>
      <c r="AQ464" s="65"/>
      <c r="AR464" s="65">
        <f>27665.43</f>
        <v>27665.43</v>
      </c>
      <c r="AS464" s="65"/>
      <c r="AT464" s="65"/>
      <c r="AU464" s="65"/>
      <c r="AV464" s="65"/>
      <c r="AW464" s="65"/>
      <c r="AX464" s="65"/>
      <c r="AY464" s="65"/>
      <c r="AZ464" s="65"/>
      <c r="BA464" s="65"/>
      <c r="BB464" s="65"/>
      <c r="BC464" s="65"/>
      <c r="BD464" s="65"/>
      <c r="BE464" s="65"/>
      <c r="BF464" s="65"/>
      <c r="BG464" s="65"/>
      <c r="BH464" s="65"/>
      <c r="BI464" s="65"/>
      <c r="BJ464" s="65"/>
      <c r="BK464" s="65">
        <v>0</v>
      </c>
      <c r="BL464" s="65">
        <v>0</v>
      </c>
      <c r="BM464" s="65">
        <v>0</v>
      </c>
      <c r="BN464" s="65">
        <f t="shared" ref="BN464:BN470" si="2400">IF(O464-BK464&gt;0,O464-BK464,0)</f>
        <v>0</v>
      </c>
      <c r="BO464" s="67">
        <f t="shared" ref="BO464:BO470" si="2401">IF(Q464-BM464&gt;0,Q464-BM464,0)</f>
        <v>121916.91</v>
      </c>
      <c r="BP464" s="65">
        <f t="shared" ref="BP464:BP470" si="2402">IF(BN464+BO464&gt;0,BN464+BO464,0)</f>
        <v>121916.91</v>
      </c>
      <c r="BQ464" s="65">
        <f t="shared" ref="BQ464:BQ470" si="2403">IF(U464=0,0,U464)</f>
        <v>0</v>
      </c>
      <c r="BR464" s="65">
        <f t="shared" ref="BR464:BR470" si="2404">IF(W464=0,0,W464)</f>
        <v>193659.01000000004</v>
      </c>
      <c r="BS464" s="65">
        <f t="shared" ref="BS464:BS470" si="2405">IF(BQ464+BR464&gt;0,BQ464+BR464,0)</f>
        <v>193659.01000000004</v>
      </c>
      <c r="BT464" s="65">
        <f t="shared" ref="BT464:BT470" si="2406">IF(V464&gt;0,V464,0)</f>
        <v>0</v>
      </c>
      <c r="BU464" s="65">
        <f t="shared" ref="BU464:BU470" si="2407">IF(BP464=0,0,BP464)</f>
        <v>121916.91</v>
      </c>
      <c r="BV464" s="65">
        <f t="shared" ref="BV464:BV470" si="2408">IF(BS464=0,0,BS464)</f>
        <v>193659.01000000004</v>
      </c>
      <c r="BW464" s="65">
        <f t="shared" ref="BW464:BW470" si="2409">IF(BP464+BT464+BV464&gt;0,BP464+BT464+BV464,0)</f>
        <v>315575.92000000004</v>
      </c>
      <c r="BX464" s="6"/>
      <c r="BY464" s="6"/>
      <c r="BZ464" s="6"/>
      <c r="CA464" s="6"/>
      <c r="CB464" s="6"/>
      <c r="CC464" s="6"/>
      <c r="CD464" s="6"/>
      <c r="CE464" s="6"/>
      <c r="CF464" s="6"/>
      <c r="CG464" s="6"/>
    </row>
    <row r="465" spans="1:85" ht="15.75" customHeight="1">
      <c r="A465" s="121"/>
      <c r="B465" s="189"/>
      <c r="C465" s="68" t="s">
        <v>142</v>
      </c>
      <c r="D465" s="115" t="s">
        <v>598</v>
      </c>
      <c r="E465" s="99">
        <v>0</v>
      </c>
      <c r="F465" s="99">
        <v>0</v>
      </c>
      <c r="G465" s="58">
        <f t="shared" si="2371"/>
        <v>0</v>
      </c>
      <c r="H465" s="56">
        <v>165000</v>
      </c>
      <c r="I465" s="83">
        <f t="shared" si="2394"/>
        <v>0</v>
      </c>
      <c r="J465" s="83">
        <f t="shared" si="2395"/>
        <v>0</v>
      </c>
      <c r="K465" s="74">
        <v>0</v>
      </c>
      <c r="L465" s="74">
        <v>0</v>
      </c>
      <c r="M465" s="74">
        <v>0</v>
      </c>
      <c r="N465" s="74">
        <v>0</v>
      </c>
      <c r="O465" s="63">
        <f t="shared" ref="O465:Q465" si="2410">AA465+AD465+AG465+AJ465+AM465+AP465+AS465+AV465+AY465+BB465+BE465+BH465</f>
        <v>0</v>
      </c>
      <c r="P465" s="63">
        <f t="shared" si="2410"/>
        <v>0</v>
      </c>
      <c r="Q465" s="63">
        <f t="shared" si="2410"/>
        <v>0</v>
      </c>
      <c r="R465" s="63">
        <f t="shared" ref="R465:T465" si="2411">IF(BK465=0,SUM(AA465+AD465+AG465+AJ465+AM465+AP465+AS465+AV465+AY465+BB465+BE465+BH465),BK465)</f>
        <v>0</v>
      </c>
      <c r="S465" s="63">
        <f t="shared" si="2411"/>
        <v>0</v>
      </c>
      <c r="T465" s="63">
        <f t="shared" si="2411"/>
        <v>0</v>
      </c>
      <c r="U465" s="63">
        <f t="shared" si="2374"/>
        <v>0</v>
      </c>
      <c r="V465" s="63">
        <f t="shared" si="2375"/>
        <v>0</v>
      </c>
      <c r="W465" s="63">
        <f t="shared" si="2376"/>
        <v>0</v>
      </c>
      <c r="X465" s="84">
        <f t="shared" ref="X465:Y465" si="2412">IF(O465&gt;0,O465/K465,0)</f>
        <v>0</v>
      </c>
      <c r="Y465" s="84">
        <f t="shared" si="2412"/>
        <v>0</v>
      </c>
      <c r="Z465" s="84">
        <f t="shared" si="2399"/>
        <v>0</v>
      </c>
      <c r="AA465" s="65"/>
      <c r="AB465" s="65"/>
      <c r="AC465" s="65"/>
      <c r="AD465" s="65"/>
      <c r="AE465" s="66"/>
      <c r="AF465" s="66"/>
      <c r="AG465" s="66"/>
      <c r="AH465" s="66"/>
      <c r="AI465" s="65"/>
      <c r="AJ465" s="65"/>
      <c r="AK465" s="65"/>
      <c r="AL465" s="65"/>
      <c r="AM465" s="65"/>
      <c r="AN465" s="65"/>
      <c r="AO465" s="65"/>
      <c r="AP465" s="65"/>
      <c r="AQ465" s="65"/>
      <c r="AR465" s="65"/>
      <c r="AS465" s="65"/>
      <c r="AT465" s="65"/>
      <c r="AU465" s="65"/>
      <c r="AV465" s="65"/>
      <c r="AW465" s="65"/>
      <c r="AX465" s="65"/>
      <c r="AY465" s="65"/>
      <c r="AZ465" s="65"/>
      <c r="BA465" s="65"/>
      <c r="BB465" s="65"/>
      <c r="BC465" s="65"/>
      <c r="BD465" s="65"/>
      <c r="BE465" s="65"/>
      <c r="BF465" s="65"/>
      <c r="BG465" s="65"/>
      <c r="BH465" s="65"/>
      <c r="BI465" s="65"/>
      <c r="BJ465" s="65"/>
      <c r="BK465" s="65">
        <v>0</v>
      </c>
      <c r="BL465" s="65">
        <v>0</v>
      </c>
      <c r="BM465" s="65">
        <v>0</v>
      </c>
      <c r="BN465" s="65">
        <f t="shared" si="2400"/>
        <v>0</v>
      </c>
      <c r="BO465" s="67">
        <f t="shared" si="2401"/>
        <v>0</v>
      </c>
      <c r="BP465" s="65">
        <f t="shared" si="2402"/>
        <v>0</v>
      </c>
      <c r="BQ465" s="65">
        <f t="shared" si="2403"/>
        <v>0</v>
      </c>
      <c r="BR465" s="65">
        <f t="shared" si="2404"/>
        <v>0</v>
      </c>
      <c r="BS465" s="65">
        <f t="shared" si="2405"/>
        <v>0</v>
      </c>
      <c r="BT465" s="65">
        <f t="shared" si="2406"/>
        <v>0</v>
      </c>
      <c r="BU465" s="65">
        <f t="shared" si="2407"/>
        <v>0</v>
      </c>
      <c r="BV465" s="65">
        <f t="shared" si="2408"/>
        <v>0</v>
      </c>
      <c r="BW465" s="65">
        <f t="shared" si="2409"/>
        <v>0</v>
      </c>
      <c r="BX465" s="88"/>
      <c r="BY465" s="88"/>
      <c r="BZ465" s="88"/>
      <c r="CA465" s="88"/>
      <c r="CB465" s="88"/>
      <c r="CC465" s="88"/>
      <c r="CD465" s="88"/>
      <c r="CE465" s="88"/>
      <c r="CF465" s="88"/>
      <c r="CG465" s="88"/>
    </row>
    <row r="466" spans="1:85" ht="15.75" customHeight="1">
      <c r="A466" s="196"/>
      <c r="B466" s="69"/>
      <c r="C466" s="68" t="s">
        <v>163</v>
      </c>
      <c r="D466" s="70" t="s">
        <v>599</v>
      </c>
      <c r="E466" s="99">
        <v>0</v>
      </c>
      <c r="F466" s="99">
        <v>0</v>
      </c>
      <c r="G466" s="58">
        <f t="shared" si="2371"/>
        <v>0</v>
      </c>
      <c r="H466" s="57">
        <v>0</v>
      </c>
      <c r="I466" s="59">
        <f t="shared" si="2394"/>
        <v>0</v>
      </c>
      <c r="J466" s="59">
        <f t="shared" si="2395"/>
        <v>0</v>
      </c>
      <c r="K466" s="74">
        <v>0</v>
      </c>
      <c r="L466" s="74">
        <v>0</v>
      </c>
      <c r="M466" s="74">
        <v>0</v>
      </c>
      <c r="N466" s="74">
        <v>0</v>
      </c>
      <c r="O466" s="61">
        <f t="shared" ref="O466:Q466" si="2413">AA466+AD466+AG466+AJ466+AM466+AP466+AS466+AV466+AY466+BB466+BE466+BH466</f>
        <v>0</v>
      </c>
      <c r="P466" s="61">
        <f t="shared" si="2413"/>
        <v>0</v>
      </c>
      <c r="Q466" s="61">
        <f t="shared" si="2413"/>
        <v>0</v>
      </c>
      <c r="R466" s="61">
        <f t="shared" ref="R466:T466" si="2414">IF(BK466=0,SUM(AA466+AD466+AG466+AJ466+AM466+AP466+AS466+AV466+AY466+BB466+BE466+BH466),BK466)</f>
        <v>0</v>
      </c>
      <c r="S466" s="61">
        <f t="shared" si="2414"/>
        <v>0</v>
      </c>
      <c r="T466" s="61">
        <f t="shared" si="2414"/>
        <v>0</v>
      </c>
      <c r="U466" s="63">
        <f t="shared" si="2374"/>
        <v>0</v>
      </c>
      <c r="V466" s="63">
        <f t="shared" si="2375"/>
        <v>0</v>
      </c>
      <c r="W466" s="63">
        <f t="shared" si="2376"/>
        <v>0</v>
      </c>
      <c r="X466" s="64">
        <f t="shared" ref="X466:Y466" si="2415">IF(O466&gt;0,O466/K466,0)</f>
        <v>0</v>
      </c>
      <c r="Y466" s="64">
        <f t="shared" si="2415"/>
        <v>0</v>
      </c>
      <c r="Z466" s="64">
        <f t="shared" si="2399"/>
        <v>0</v>
      </c>
      <c r="AA466" s="65"/>
      <c r="AB466" s="65"/>
      <c r="AC466" s="65"/>
      <c r="AD466" s="65"/>
      <c r="AE466" s="66"/>
      <c r="AF466" s="66"/>
      <c r="AG466" s="66"/>
      <c r="AH466" s="66"/>
      <c r="AI466" s="65"/>
      <c r="AJ466" s="65"/>
      <c r="AK466" s="65"/>
      <c r="AL466" s="65"/>
      <c r="AM466" s="65"/>
      <c r="AN466" s="65"/>
      <c r="AO466" s="65"/>
      <c r="AP466" s="65"/>
      <c r="AQ466" s="65"/>
      <c r="AR466" s="65"/>
      <c r="AS466" s="65"/>
      <c r="AT466" s="65"/>
      <c r="AU466" s="65"/>
      <c r="AV466" s="65"/>
      <c r="AW466" s="65"/>
      <c r="AX466" s="65"/>
      <c r="AY466" s="65"/>
      <c r="AZ466" s="65"/>
      <c r="BA466" s="65"/>
      <c r="BB466" s="65"/>
      <c r="BC466" s="65"/>
      <c r="BD466" s="65"/>
      <c r="BE466" s="65"/>
      <c r="BF466" s="65"/>
      <c r="BG466" s="65"/>
      <c r="BH466" s="65"/>
      <c r="BI466" s="65"/>
      <c r="BJ466" s="65"/>
      <c r="BK466" s="65">
        <v>0</v>
      </c>
      <c r="BL466" s="65">
        <v>0</v>
      </c>
      <c r="BM466" s="65">
        <v>0</v>
      </c>
      <c r="BN466" s="65">
        <f t="shared" si="2400"/>
        <v>0</v>
      </c>
      <c r="BO466" s="67">
        <f t="shared" si="2401"/>
        <v>0</v>
      </c>
      <c r="BP466" s="65">
        <f t="shared" si="2402"/>
        <v>0</v>
      </c>
      <c r="BQ466" s="65">
        <f t="shared" si="2403"/>
        <v>0</v>
      </c>
      <c r="BR466" s="65">
        <f t="shared" si="2404"/>
        <v>0</v>
      </c>
      <c r="BS466" s="65">
        <f t="shared" si="2405"/>
        <v>0</v>
      </c>
      <c r="BT466" s="65">
        <f t="shared" si="2406"/>
        <v>0</v>
      </c>
      <c r="BU466" s="65">
        <f t="shared" si="2407"/>
        <v>0</v>
      </c>
      <c r="BV466" s="65">
        <f t="shared" si="2408"/>
        <v>0</v>
      </c>
      <c r="BW466" s="65">
        <f t="shared" si="2409"/>
        <v>0</v>
      </c>
      <c r="BX466" s="6"/>
      <c r="BY466" s="6"/>
      <c r="BZ466" s="6"/>
      <c r="CA466" s="6"/>
      <c r="CB466" s="6"/>
      <c r="CC466" s="6"/>
      <c r="CD466" s="6"/>
      <c r="CE466" s="6"/>
      <c r="CF466" s="6"/>
      <c r="CG466" s="6"/>
    </row>
    <row r="467" spans="1:85" ht="15.75" customHeight="1">
      <c r="A467" s="196"/>
      <c r="B467" s="169"/>
      <c r="C467" s="68" t="s">
        <v>138</v>
      </c>
      <c r="D467" s="122" t="s">
        <v>600</v>
      </c>
      <c r="E467" s="99">
        <v>0</v>
      </c>
      <c r="F467" s="99">
        <v>0</v>
      </c>
      <c r="G467" s="58">
        <f t="shared" si="2371"/>
        <v>0</v>
      </c>
      <c r="H467" s="99">
        <v>0</v>
      </c>
      <c r="I467" s="59">
        <f t="shared" si="2394"/>
        <v>0</v>
      </c>
      <c r="J467" s="59">
        <f t="shared" si="2395"/>
        <v>0</v>
      </c>
      <c r="K467" s="74">
        <v>0</v>
      </c>
      <c r="L467" s="74">
        <v>0</v>
      </c>
      <c r="M467" s="74">
        <v>0</v>
      </c>
      <c r="N467" s="74">
        <v>0</v>
      </c>
      <c r="O467" s="61">
        <f t="shared" ref="O467:Q467" si="2416">AA467+AD467+AG467+AJ467+AM467+AP467+AS467+AV467+AY467+BB467+BE467+BH467</f>
        <v>0</v>
      </c>
      <c r="P467" s="61">
        <f t="shared" si="2416"/>
        <v>0</v>
      </c>
      <c r="Q467" s="61">
        <f t="shared" si="2416"/>
        <v>0</v>
      </c>
      <c r="R467" s="61">
        <f t="shared" ref="R467:T467" si="2417">IF(BK467=0,SUM(AA467+AD467+AG467+AJ467+AM467+AP467+AS467+AV467+AY467+BB467+BE467+BH467),BK467)</f>
        <v>0</v>
      </c>
      <c r="S467" s="61">
        <f t="shared" si="2417"/>
        <v>0</v>
      </c>
      <c r="T467" s="61">
        <f t="shared" si="2417"/>
        <v>0</v>
      </c>
      <c r="U467" s="63">
        <f t="shared" si="2374"/>
        <v>0</v>
      </c>
      <c r="V467" s="63">
        <f t="shared" si="2375"/>
        <v>0</v>
      </c>
      <c r="W467" s="63">
        <f t="shared" si="2376"/>
        <v>0</v>
      </c>
      <c r="X467" s="64">
        <f t="shared" ref="X467:Y467" si="2418">IF(O467&gt;0,O467/K467,0)</f>
        <v>0</v>
      </c>
      <c r="Y467" s="64">
        <f t="shared" si="2418"/>
        <v>0</v>
      </c>
      <c r="Z467" s="64">
        <f t="shared" si="2399"/>
        <v>0</v>
      </c>
      <c r="AA467" s="65"/>
      <c r="AB467" s="65"/>
      <c r="AC467" s="65"/>
      <c r="AD467" s="65"/>
      <c r="AE467" s="66"/>
      <c r="AF467" s="66"/>
      <c r="AG467" s="66"/>
      <c r="AH467" s="66"/>
      <c r="AI467" s="65"/>
      <c r="AJ467" s="65"/>
      <c r="AK467" s="65"/>
      <c r="AL467" s="65"/>
      <c r="AM467" s="65"/>
      <c r="AN467" s="65"/>
      <c r="AO467" s="65"/>
      <c r="AP467" s="65"/>
      <c r="AQ467" s="65"/>
      <c r="AR467" s="65"/>
      <c r="AS467" s="65"/>
      <c r="AT467" s="65"/>
      <c r="AU467" s="65"/>
      <c r="AV467" s="65"/>
      <c r="AW467" s="65"/>
      <c r="AX467" s="65"/>
      <c r="AY467" s="65"/>
      <c r="AZ467" s="65"/>
      <c r="BA467" s="65"/>
      <c r="BB467" s="65"/>
      <c r="BC467" s="65"/>
      <c r="BD467" s="65"/>
      <c r="BE467" s="65"/>
      <c r="BF467" s="65"/>
      <c r="BG467" s="65"/>
      <c r="BH467" s="65"/>
      <c r="BI467" s="65"/>
      <c r="BJ467" s="65"/>
      <c r="BK467" s="65">
        <v>0</v>
      </c>
      <c r="BL467" s="65">
        <v>0</v>
      </c>
      <c r="BM467" s="65">
        <v>0</v>
      </c>
      <c r="BN467" s="65">
        <f t="shared" si="2400"/>
        <v>0</v>
      </c>
      <c r="BO467" s="67">
        <f t="shared" si="2401"/>
        <v>0</v>
      </c>
      <c r="BP467" s="65">
        <f t="shared" si="2402"/>
        <v>0</v>
      </c>
      <c r="BQ467" s="65">
        <f t="shared" si="2403"/>
        <v>0</v>
      </c>
      <c r="BR467" s="65">
        <f t="shared" si="2404"/>
        <v>0</v>
      </c>
      <c r="BS467" s="65">
        <f t="shared" si="2405"/>
        <v>0</v>
      </c>
      <c r="BT467" s="65">
        <f t="shared" si="2406"/>
        <v>0</v>
      </c>
      <c r="BU467" s="65">
        <f t="shared" si="2407"/>
        <v>0</v>
      </c>
      <c r="BV467" s="65">
        <f t="shared" si="2408"/>
        <v>0</v>
      </c>
      <c r="BW467" s="65">
        <f t="shared" si="2409"/>
        <v>0</v>
      </c>
      <c r="BX467" s="6"/>
      <c r="BY467" s="6"/>
      <c r="BZ467" s="6"/>
      <c r="CA467" s="6"/>
      <c r="CB467" s="6"/>
      <c r="CC467" s="6"/>
      <c r="CD467" s="6"/>
      <c r="CE467" s="6"/>
      <c r="CF467" s="6"/>
      <c r="CG467" s="6"/>
    </row>
    <row r="468" spans="1:85" ht="15.75" customHeight="1">
      <c r="A468" s="196"/>
      <c r="B468" s="168"/>
      <c r="C468" s="68" t="s">
        <v>148</v>
      </c>
      <c r="D468" s="122" t="s">
        <v>601</v>
      </c>
      <c r="E468" s="99">
        <v>0</v>
      </c>
      <c r="F468" s="99">
        <v>0</v>
      </c>
      <c r="G468" s="58">
        <f t="shared" si="2371"/>
        <v>0</v>
      </c>
      <c r="H468" s="99">
        <v>0</v>
      </c>
      <c r="I468" s="59">
        <f t="shared" si="2394"/>
        <v>0</v>
      </c>
      <c r="J468" s="59">
        <f t="shared" si="2395"/>
        <v>0</v>
      </c>
      <c r="K468" s="74">
        <v>0</v>
      </c>
      <c r="L468" s="74">
        <v>0</v>
      </c>
      <c r="M468" s="74">
        <v>0</v>
      </c>
      <c r="N468" s="74">
        <v>0</v>
      </c>
      <c r="O468" s="61">
        <f t="shared" ref="O468:Q468" si="2419">AA468+AD468+AG468+AJ468+AM468+AP468+AS468+AV468+AY468+BB468+BE468+BH468</f>
        <v>0</v>
      </c>
      <c r="P468" s="61">
        <f t="shared" si="2419"/>
        <v>0</v>
      </c>
      <c r="Q468" s="61">
        <f t="shared" si="2419"/>
        <v>0</v>
      </c>
      <c r="R468" s="61">
        <f t="shared" ref="R468:T468" si="2420">IF(BK468=0,SUM(AA468+AD468+AG468+AJ468+AM468+AP468+AS468+AV468+AY468+BB468+BE468+BH468),BK468)</f>
        <v>0</v>
      </c>
      <c r="S468" s="61">
        <f t="shared" si="2420"/>
        <v>0</v>
      </c>
      <c r="T468" s="61">
        <f t="shared" si="2420"/>
        <v>0</v>
      </c>
      <c r="U468" s="63">
        <f t="shared" si="2374"/>
        <v>0</v>
      </c>
      <c r="V468" s="63">
        <f t="shared" si="2375"/>
        <v>0</v>
      </c>
      <c r="W468" s="63">
        <f t="shared" si="2376"/>
        <v>0</v>
      </c>
      <c r="X468" s="64">
        <f t="shared" ref="X468:Y468" si="2421">IF(O468&gt;0,O468/K468,0)</f>
        <v>0</v>
      </c>
      <c r="Y468" s="64">
        <f t="shared" si="2421"/>
        <v>0</v>
      </c>
      <c r="Z468" s="64">
        <f t="shared" si="2399"/>
        <v>0</v>
      </c>
      <c r="AA468" s="65"/>
      <c r="AB468" s="65"/>
      <c r="AC468" s="65"/>
      <c r="AD468" s="65"/>
      <c r="AE468" s="66"/>
      <c r="AF468" s="66"/>
      <c r="AG468" s="66"/>
      <c r="AH468" s="66"/>
      <c r="AI468" s="65"/>
      <c r="AJ468" s="65"/>
      <c r="AK468" s="65"/>
      <c r="AL468" s="65"/>
      <c r="AM468" s="65"/>
      <c r="AN468" s="65"/>
      <c r="AO468" s="65"/>
      <c r="AP468" s="65"/>
      <c r="AQ468" s="65"/>
      <c r="AR468" s="65"/>
      <c r="AS468" s="65"/>
      <c r="AT468" s="65"/>
      <c r="AU468" s="65"/>
      <c r="AV468" s="65"/>
      <c r="AW468" s="65"/>
      <c r="AX468" s="65"/>
      <c r="AY468" s="65"/>
      <c r="AZ468" s="65"/>
      <c r="BA468" s="65"/>
      <c r="BB468" s="65"/>
      <c r="BC468" s="65"/>
      <c r="BD468" s="65"/>
      <c r="BE468" s="65"/>
      <c r="BF468" s="65"/>
      <c r="BG468" s="65"/>
      <c r="BH468" s="65"/>
      <c r="BI468" s="65"/>
      <c r="BJ468" s="65"/>
      <c r="BK468" s="65">
        <v>0</v>
      </c>
      <c r="BL468" s="65">
        <v>0</v>
      </c>
      <c r="BM468" s="65">
        <v>0</v>
      </c>
      <c r="BN468" s="65">
        <f t="shared" si="2400"/>
        <v>0</v>
      </c>
      <c r="BO468" s="67">
        <f t="shared" si="2401"/>
        <v>0</v>
      </c>
      <c r="BP468" s="65">
        <f t="shared" si="2402"/>
        <v>0</v>
      </c>
      <c r="BQ468" s="65">
        <f t="shared" si="2403"/>
        <v>0</v>
      </c>
      <c r="BR468" s="65">
        <f t="shared" si="2404"/>
        <v>0</v>
      </c>
      <c r="BS468" s="65">
        <f t="shared" si="2405"/>
        <v>0</v>
      </c>
      <c r="BT468" s="65">
        <f t="shared" si="2406"/>
        <v>0</v>
      </c>
      <c r="BU468" s="65">
        <f t="shared" si="2407"/>
        <v>0</v>
      </c>
      <c r="BV468" s="65">
        <f t="shared" si="2408"/>
        <v>0</v>
      </c>
      <c r="BW468" s="65">
        <f t="shared" si="2409"/>
        <v>0</v>
      </c>
      <c r="BX468" s="6"/>
      <c r="BY468" s="6"/>
      <c r="BZ468" s="6"/>
      <c r="CA468" s="6"/>
      <c r="CB468" s="6"/>
      <c r="CC468" s="6"/>
      <c r="CD468" s="6"/>
      <c r="CE468" s="6"/>
      <c r="CF468" s="6"/>
      <c r="CG468" s="6"/>
    </row>
    <row r="469" spans="1:85" ht="15.75" customHeight="1">
      <c r="A469" s="69"/>
      <c r="B469" s="103"/>
      <c r="C469" s="68" t="s">
        <v>602</v>
      </c>
      <c r="D469" s="70" t="s">
        <v>603</v>
      </c>
      <c r="E469" s="99">
        <v>0</v>
      </c>
      <c r="F469" s="99">
        <v>0</v>
      </c>
      <c r="G469" s="58">
        <f t="shared" si="2371"/>
        <v>0</v>
      </c>
      <c r="H469" s="99">
        <v>0</v>
      </c>
      <c r="I469" s="59">
        <f t="shared" si="2394"/>
        <v>0</v>
      </c>
      <c r="J469" s="59">
        <f t="shared" si="2395"/>
        <v>0</v>
      </c>
      <c r="K469" s="74">
        <v>0</v>
      </c>
      <c r="L469" s="74">
        <v>0</v>
      </c>
      <c r="M469" s="74">
        <v>0</v>
      </c>
      <c r="N469" s="74">
        <v>0</v>
      </c>
      <c r="O469" s="61">
        <f t="shared" ref="O469:Q469" si="2422">AA469+AD469+AG469+AJ469+AM469+AP469+AS469+AV469+AY469+BB469+BE469+BH469</f>
        <v>0</v>
      </c>
      <c r="P469" s="61">
        <f t="shared" si="2422"/>
        <v>0</v>
      </c>
      <c r="Q469" s="61">
        <f t="shared" si="2422"/>
        <v>0</v>
      </c>
      <c r="R469" s="61">
        <f t="shared" ref="R469:T469" si="2423">IF(BK469=0,SUM(AA469+AD469+AG469+AJ469+AM469+AP469+AS469+AV469+AY469+BB469+BE469+BH469),BK469)</f>
        <v>0</v>
      </c>
      <c r="S469" s="61">
        <f t="shared" si="2423"/>
        <v>0</v>
      </c>
      <c r="T469" s="61">
        <f t="shared" si="2423"/>
        <v>0</v>
      </c>
      <c r="U469" s="63">
        <f t="shared" si="2374"/>
        <v>0</v>
      </c>
      <c r="V469" s="63">
        <f t="shared" si="2375"/>
        <v>0</v>
      </c>
      <c r="W469" s="63">
        <f t="shared" si="2376"/>
        <v>0</v>
      </c>
      <c r="X469" s="64">
        <f t="shared" ref="X469:Y469" si="2424">IF(O469&gt;0,O469/K469,0)</f>
        <v>0</v>
      </c>
      <c r="Y469" s="64">
        <f t="shared" si="2424"/>
        <v>0</v>
      </c>
      <c r="Z469" s="64">
        <f t="shared" si="2399"/>
        <v>0</v>
      </c>
      <c r="AA469" s="65"/>
      <c r="AB469" s="65"/>
      <c r="AC469" s="65"/>
      <c r="AD469" s="65"/>
      <c r="AE469" s="66"/>
      <c r="AF469" s="66"/>
      <c r="AG469" s="66"/>
      <c r="AH469" s="66"/>
      <c r="AI469" s="65"/>
      <c r="AJ469" s="65"/>
      <c r="AK469" s="65"/>
      <c r="AL469" s="65"/>
      <c r="AM469" s="65"/>
      <c r="AN469" s="65"/>
      <c r="AO469" s="65"/>
      <c r="AP469" s="65"/>
      <c r="AQ469" s="65"/>
      <c r="AR469" s="65"/>
      <c r="AS469" s="65"/>
      <c r="AT469" s="65"/>
      <c r="AU469" s="65"/>
      <c r="AV469" s="65"/>
      <c r="AW469" s="65"/>
      <c r="AX469" s="65"/>
      <c r="AY469" s="65"/>
      <c r="AZ469" s="65"/>
      <c r="BA469" s="65"/>
      <c r="BB469" s="65"/>
      <c r="BC469" s="65"/>
      <c r="BD469" s="65"/>
      <c r="BE469" s="65"/>
      <c r="BF469" s="65"/>
      <c r="BG469" s="65"/>
      <c r="BH469" s="65"/>
      <c r="BI469" s="65"/>
      <c r="BJ469" s="65"/>
      <c r="BK469" s="65">
        <v>0</v>
      </c>
      <c r="BL469" s="65">
        <v>0</v>
      </c>
      <c r="BM469" s="65">
        <v>0</v>
      </c>
      <c r="BN469" s="65">
        <f t="shared" si="2400"/>
        <v>0</v>
      </c>
      <c r="BO469" s="67">
        <f t="shared" si="2401"/>
        <v>0</v>
      </c>
      <c r="BP469" s="65">
        <f t="shared" si="2402"/>
        <v>0</v>
      </c>
      <c r="BQ469" s="65">
        <f t="shared" si="2403"/>
        <v>0</v>
      </c>
      <c r="BR469" s="65">
        <f t="shared" si="2404"/>
        <v>0</v>
      </c>
      <c r="BS469" s="65">
        <f t="shared" si="2405"/>
        <v>0</v>
      </c>
      <c r="BT469" s="65">
        <f t="shared" si="2406"/>
        <v>0</v>
      </c>
      <c r="BU469" s="65">
        <f t="shared" si="2407"/>
        <v>0</v>
      </c>
      <c r="BV469" s="65">
        <f t="shared" si="2408"/>
        <v>0</v>
      </c>
      <c r="BW469" s="65">
        <f t="shared" si="2409"/>
        <v>0</v>
      </c>
      <c r="BX469" s="6"/>
      <c r="BY469" s="6"/>
      <c r="BZ469" s="6"/>
      <c r="CA469" s="6"/>
      <c r="CB469" s="6"/>
      <c r="CC469" s="6"/>
      <c r="CD469" s="6"/>
      <c r="CE469" s="6"/>
      <c r="CF469" s="6"/>
      <c r="CG469" s="6"/>
    </row>
    <row r="470" spans="1:85" ht="15.75" customHeight="1">
      <c r="A470" s="104" t="s">
        <v>604</v>
      </c>
      <c r="B470" s="121" t="s">
        <v>605</v>
      </c>
      <c r="C470" s="68" t="s">
        <v>602</v>
      </c>
      <c r="D470" s="70" t="s">
        <v>606</v>
      </c>
      <c r="E470" s="99">
        <v>0</v>
      </c>
      <c r="F470" s="99">
        <v>0</v>
      </c>
      <c r="G470" s="58">
        <f t="shared" si="2371"/>
        <v>0</v>
      </c>
      <c r="H470" s="56">
        <v>700000</v>
      </c>
      <c r="I470" s="59">
        <f t="shared" si="2394"/>
        <v>0</v>
      </c>
      <c r="J470" s="59">
        <f t="shared" si="2395"/>
        <v>0</v>
      </c>
      <c r="K470" s="74">
        <v>0</v>
      </c>
      <c r="L470" s="74">
        <v>31992.54</v>
      </c>
      <c r="M470" s="74">
        <v>0</v>
      </c>
      <c r="N470" s="74">
        <f>115684+57842-8557.41+57842+231368+231368</f>
        <v>685546.59</v>
      </c>
      <c r="O470" s="61">
        <f t="shared" ref="O470:Q470" si="2425">AA470+AD470+AG470+AJ470+AM470+AP470+AS470+AV470+AY470+BB470+BE470+BH470</f>
        <v>0</v>
      </c>
      <c r="P470" s="61">
        <f t="shared" si="2425"/>
        <v>31992.539999999997</v>
      </c>
      <c r="Q470" s="116">
        <f t="shared" si="2425"/>
        <v>279287.78999999998</v>
      </c>
      <c r="R470" s="61">
        <f t="shared" ref="R470:T470" si="2426">IF(BK470=0,SUM(AA470+AD470+AG470+AJ470+AM470+AP470+AS470+AV470+AY470+BB470+BE470+BH470),BK470)</f>
        <v>0</v>
      </c>
      <c r="S470" s="61">
        <f t="shared" si="2426"/>
        <v>31992.539999999997</v>
      </c>
      <c r="T470" s="61">
        <f t="shared" si="2426"/>
        <v>279287.78999999998</v>
      </c>
      <c r="U470" s="63">
        <f t="shared" si="2374"/>
        <v>0</v>
      </c>
      <c r="V470" s="63">
        <f t="shared" si="2375"/>
        <v>0</v>
      </c>
      <c r="W470" s="62">
        <f t="shared" si="2376"/>
        <v>406258.8</v>
      </c>
      <c r="X470" s="64">
        <f t="shared" ref="X470:Y470" si="2427">IF(O470&gt;0,O470/K470,0)</f>
        <v>0</v>
      </c>
      <c r="Y470" s="64">
        <f t="shared" si="2427"/>
        <v>0.99999999999999989</v>
      </c>
      <c r="Z470" s="64">
        <f t="shared" si="2399"/>
        <v>0.40739432457829011</v>
      </c>
      <c r="AA470" s="65"/>
      <c r="AB470" s="65"/>
      <c r="AC470" s="65"/>
      <c r="AD470" s="65"/>
      <c r="AE470" s="66">
        <f>5424.23+5424.23</f>
        <v>10848.46</v>
      </c>
      <c r="AF470" s="113">
        <v>50205.89</v>
      </c>
      <c r="AG470" s="66"/>
      <c r="AH470" s="66"/>
      <c r="AI470" s="100">
        <v>57306.14</v>
      </c>
      <c r="AJ470" s="65"/>
      <c r="AK470" s="65">
        <f>16137.81</f>
        <v>16137.81</v>
      </c>
      <c r="AL470" s="65">
        <f>57455.56</f>
        <v>57455.56</v>
      </c>
      <c r="AM470" s="65"/>
      <c r="AN470" s="65">
        <f>1816+3190.27</f>
        <v>5006.2700000000004</v>
      </c>
      <c r="AO470" s="65">
        <f>57449.31</f>
        <v>57449.31</v>
      </c>
      <c r="AP470" s="65"/>
      <c r="AQ470" s="65"/>
      <c r="AR470" s="65">
        <f>56870.89</f>
        <v>56870.89</v>
      </c>
      <c r="AS470" s="65"/>
      <c r="AT470" s="65"/>
      <c r="AU470" s="65"/>
      <c r="AV470" s="65"/>
      <c r="AW470" s="65"/>
      <c r="AX470" s="65"/>
      <c r="AY470" s="65"/>
      <c r="AZ470" s="65"/>
      <c r="BA470" s="65"/>
      <c r="BB470" s="65"/>
      <c r="BC470" s="65"/>
      <c r="BD470" s="65"/>
      <c r="BE470" s="65"/>
      <c r="BF470" s="65"/>
      <c r="BG470" s="65"/>
      <c r="BH470" s="65"/>
      <c r="BI470" s="65"/>
      <c r="BJ470" s="65"/>
      <c r="BK470" s="65">
        <v>0</v>
      </c>
      <c r="BL470" s="65">
        <v>0</v>
      </c>
      <c r="BM470" s="65">
        <v>0</v>
      </c>
      <c r="BN470" s="65">
        <f t="shared" si="2400"/>
        <v>0</v>
      </c>
      <c r="BO470" s="67">
        <f t="shared" si="2401"/>
        <v>279287.78999999998</v>
      </c>
      <c r="BP470" s="65">
        <f t="shared" si="2402"/>
        <v>279287.78999999998</v>
      </c>
      <c r="BQ470" s="65">
        <f t="shared" si="2403"/>
        <v>0</v>
      </c>
      <c r="BR470" s="65">
        <f t="shared" si="2404"/>
        <v>406258.8</v>
      </c>
      <c r="BS470" s="65">
        <f t="shared" si="2405"/>
        <v>406258.8</v>
      </c>
      <c r="BT470" s="65">
        <f t="shared" si="2406"/>
        <v>0</v>
      </c>
      <c r="BU470" s="65">
        <f t="shared" si="2407"/>
        <v>279287.78999999998</v>
      </c>
      <c r="BV470" s="65">
        <f t="shared" si="2408"/>
        <v>406258.8</v>
      </c>
      <c r="BW470" s="65">
        <f t="shared" si="2409"/>
        <v>685546.59</v>
      </c>
      <c r="BX470" s="6"/>
      <c r="BY470" s="6"/>
      <c r="BZ470" s="6"/>
      <c r="CA470" s="6"/>
      <c r="CB470" s="6"/>
      <c r="CC470" s="6"/>
      <c r="CD470" s="6"/>
      <c r="CE470" s="6"/>
      <c r="CF470" s="6"/>
      <c r="CG470" s="6"/>
    </row>
    <row r="471" spans="1:85" ht="15.75">
      <c r="A471" s="75"/>
      <c r="B471" s="76"/>
      <c r="C471" s="77"/>
      <c r="D471" s="78" t="s">
        <v>168</v>
      </c>
      <c r="E471" s="45">
        <f t="shared" ref="E471:H471" si="2428">SUM(E472:E476)</f>
        <v>0</v>
      </c>
      <c r="F471" s="45">
        <f t="shared" si="2428"/>
        <v>0</v>
      </c>
      <c r="G471" s="45">
        <f t="shared" si="2428"/>
        <v>0</v>
      </c>
      <c r="H471" s="45">
        <f t="shared" si="2428"/>
        <v>155000</v>
      </c>
      <c r="I471" s="47">
        <f t="shared" si="2394"/>
        <v>0</v>
      </c>
      <c r="J471" s="47">
        <f t="shared" si="2395"/>
        <v>0</v>
      </c>
      <c r="K471" s="45">
        <f t="shared" ref="K471:W471" si="2429">SUM(K472:K476)</f>
        <v>0</v>
      </c>
      <c r="L471" s="45">
        <f t="shared" si="2429"/>
        <v>19158.5</v>
      </c>
      <c r="M471" s="45">
        <f t="shared" si="2429"/>
        <v>0</v>
      </c>
      <c r="N471" s="45">
        <f t="shared" si="2429"/>
        <v>5500</v>
      </c>
      <c r="O471" s="45">
        <f t="shared" si="2429"/>
        <v>0</v>
      </c>
      <c r="P471" s="45">
        <f t="shared" si="2429"/>
        <v>16879.349999999999</v>
      </c>
      <c r="Q471" s="45">
        <f t="shared" si="2429"/>
        <v>5500</v>
      </c>
      <c r="R471" s="45">
        <f t="shared" si="2429"/>
        <v>0</v>
      </c>
      <c r="S471" s="45">
        <f t="shared" si="2429"/>
        <v>16879.349999999999</v>
      </c>
      <c r="T471" s="45">
        <f t="shared" si="2429"/>
        <v>5500</v>
      </c>
      <c r="U471" s="45">
        <f t="shared" si="2429"/>
        <v>0</v>
      </c>
      <c r="V471" s="45">
        <f t="shared" si="2429"/>
        <v>2279.1500000000015</v>
      </c>
      <c r="W471" s="45">
        <f t="shared" si="2429"/>
        <v>0</v>
      </c>
      <c r="X471" s="50">
        <f t="shared" ref="X471:Y471" si="2430">IF(O471&gt;0,O471/K471,0)</f>
        <v>0</v>
      </c>
      <c r="Y471" s="50">
        <f t="shared" si="2430"/>
        <v>0.88103713756296154</v>
      </c>
      <c r="Z471" s="50">
        <f t="shared" si="2399"/>
        <v>1</v>
      </c>
      <c r="AA471" s="45">
        <f t="shared" ref="AA471:BW471" si="2431">SUM(AA472:AA476)</f>
        <v>0</v>
      </c>
      <c r="AB471" s="45">
        <f t="shared" si="2431"/>
        <v>0</v>
      </c>
      <c r="AC471" s="45">
        <f t="shared" si="2431"/>
        <v>0</v>
      </c>
      <c r="AD471" s="45">
        <f t="shared" si="2431"/>
        <v>0</v>
      </c>
      <c r="AE471" s="45">
        <f t="shared" si="2431"/>
        <v>15654.05</v>
      </c>
      <c r="AF471" s="45">
        <f t="shared" si="2431"/>
        <v>0</v>
      </c>
      <c r="AG471" s="45">
        <f t="shared" si="2431"/>
        <v>0</v>
      </c>
      <c r="AH471" s="45">
        <f t="shared" si="2431"/>
        <v>0</v>
      </c>
      <c r="AI471" s="45">
        <f t="shared" si="2431"/>
        <v>0</v>
      </c>
      <c r="AJ471" s="45">
        <f t="shared" si="2431"/>
        <v>0</v>
      </c>
      <c r="AK471" s="45">
        <f t="shared" si="2431"/>
        <v>0</v>
      </c>
      <c r="AL471" s="45">
        <f t="shared" si="2431"/>
        <v>5500</v>
      </c>
      <c r="AM471" s="45">
        <f t="shared" si="2431"/>
        <v>0</v>
      </c>
      <c r="AN471" s="45">
        <f t="shared" si="2431"/>
        <v>0</v>
      </c>
      <c r="AO471" s="45">
        <f t="shared" si="2431"/>
        <v>0</v>
      </c>
      <c r="AP471" s="45">
        <f t="shared" si="2431"/>
        <v>0</v>
      </c>
      <c r="AQ471" s="45">
        <f t="shared" si="2431"/>
        <v>1225.3</v>
      </c>
      <c r="AR471" s="45">
        <f t="shared" si="2431"/>
        <v>0</v>
      </c>
      <c r="AS471" s="45">
        <f t="shared" si="2431"/>
        <v>0</v>
      </c>
      <c r="AT471" s="45">
        <f t="shared" si="2431"/>
        <v>0</v>
      </c>
      <c r="AU471" s="45">
        <f t="shared" si="2431"/>
        <v>0</v>
      </c>
      <c r="AV471" s="45">
        <f t="shared" si="2431"/>
        <v>0</v>
      </c>
      <c r="AW471" s="45">
        <f t="shared" si="2431"/>
        <v>0</v>
      </c>
      <c r="AX471" s="45">
        <f t="shared" si="2431"/>
        <v>0</v>
      </c>
      <c r="AY471" s="45">
        <f t="shared" si="2431"/>
        <v>0</v>
      </c>
      <c r="AZ471" s="45">
        <f t="shared" si="2431"/>
        <v>0</v>
      </c>
      <c r="BA471" s="45">
        <f t="shared" si="2431"/>
        <v>0</v>
      </c>
      <c r="BB471" s="45">
        <f t="shared" si="2431"/>
        <v>0</v>
      </c>
      <c r="BC471" s="45">
        <f t="shared" si="2431"/>
        <v>0</v>
      </c>
      <c r="BD471" s="45">
        <f t="shared" si="2431"/>
        <v>0</v>
      </c>
      <c r="BE471" s="45">
        <f t="shared" si="2431"/>
        <v>0</v>
      </c>
      <c r="BF471" s="45">
        <f t="shared" si="2431"/>
        <v>0</v>
      </c>
      <c r="BG471" s="45">
        <f t="shared" si="2431"/>
        <v>0</v>
      </c>
      <c r="BH471" s="45">
        <f t="shared" si="2431"/>
        <v>0</v>
      </c>
      <c r="BI471" s="45">
        <f t="shared" si="2431"/>
        <v>0</v>
      </c>
      <c r="BJ471" s="45">
        <f t="shared" si="2431"/>
        <v>0</v>
      </c>
      <c r="BK471" s="45">
        <f t="shared" si="2431"/>
        <v>0</v>
      </c>
      <c r="BL471" s="45">
        <f t="shared" si="2431"/>
        <v>0</v>
      </c>
      <c r="BM471" s="45">
        <f t="shared" si="2431"/>
        <v>0</v>
      </c>
      <c r="BN471" s="45">
        <f t="shared" si="2431"/>
        <v>0</v>
      </c>
      <c r="BO471" s="45">
        <f t="shared" si="2431"/>
        <v>5500</v>
      </c>
      <c r="BP471" s="45">
        <f t="shared" si="2431"/>
        <v>5500</v>
      </c>
      <c r="BQ471" s="45">
        <f t="shared" si="2431"/>
        <v>0</v>
      </c>
      <c r="BR471" s="45">
        <f t="shared" si="2431"/>
        <v>0</v>
      </c>
      <c r="BS471" s="45">
        <f t="shared" si="2431"/>
        <v>0</v>
      </c>
      <c r="BT471" s="45">
        <f t="shared" si="2431"/>
        <v>2279.1500000000015</v>
      </c>
      <c r="BU471" s="45">
        <f t="shared" si="2431"/>
        <v>5500</v>
      </c>
      <c r="BV471" s="45">
        <f t="shared" si="2431"/>
        <v>0</v>
      </c>
      <c r="BW471" s="45">
        <f t="shared" si="2431"/>
        <v>7779.1500000000015</v>
      </c>
      <c r="BX471" s="51"/>
      <c r="BY471" s="51"/>
      <c r="BZ471" s="51"/>
      <c r="CA471" s="51"/>
      <c r="CB471" s="51"/>
      <c r="CC471" s="51"/>
      <c r="CD471" s="51"/>
      <c r="CE471" s="51"/>
      <c r="CF471" s="51"/>
      <c r="CG471" s="51"/>
    </row>
    <row r="472" spans="1:85" ht="15.75" customHeight="1">
      <c r="A472" s="121"/>
      <c r="B472" s="121" t="s">
        <v>607</v>
      </c>
      <c r="C472" s="176" t="s">
        <v>174</v>
      </c>
      <c r="D472" s="171" t="s">
        <v>608</v>
      </c>
      <c r="E472" s="99">
        <v>0</v>
      </c>
      <c r="F472" s="99">
        <v>0</v>
      </c>
      <c r="G472" s="58">
        <f t="shared" ref="G472:G476" si="2432">E472-F472</f>
        <v>0</v>
      </c>
      <c r="H472" s="57">
        <v>0</v>
      </c>
      <c r="I472" s="59">
        <f t="shared" si="2394"/>
        <v>0</v>
      </c>
      <c r="J472" s="59">
        <f t="shared" si="2395"/>
        <v>0</v>
      </c>
      <c r="K472" s="60">
        <v>0</v>
      </c>
      <c r="L472" s="100">
        <v>200</v>
      </c>
      <c r="M472" s="100">
        <v>0</v>
      </c>
      <c r="N472" s="60">
        <v>0</v>
      </c>
      <c r="O472" s="61">
        <f t="shared" ref="O472:Q472" si="2433">AA472+AD472+AG472+AJ472+AM472+AP472+AS472+AV472+AY472+BB472+BE472+BH472</f>
        <v>0</v>
      </c>
      <c r="P472" s="61">
        <f t="shared" si="2433"/>
        <v>0</v>
      </c>
      <c r="Q472" s="61">
        <f t="shared" si="2433"/>
        <v>0</v>
      </c>
      <c r="R472" s="61">
        <f t="shared" ref="R472:T472" si="2434">IF(BK472=0,SUM(AA472+AD472+AG472+AJ472+AM472+AP472+AS472+AV472+AY472+BB472+BE472+BH472),BK472)</f>
        <v>0</v>
      </c>
      <c r="S472" s="61">
        <f t="shared" si="2434"/>
        <v>0</v>
      </c>
      <c r="T472" s="61">
        <f t="shared" si="2434"/>
        <v>0</v>
      </c>
      <c r="U472" s="63">
        <f t="shared" ref="U472:U476" si="2435">K472-O472</f>
        <v>0</v>
      </c>
      <c r="V472" s="62">
        <f t="shared" ref="V472:V476" si="2436">L472-M472-S472</f>
        <v>200</v>
      </c>
      <c r="W472" s="63">
        <f t="shared" ref="W472:W476" si="2437">N472-Q472</f>
        <v>0</v>
      </c>
      <c r="X472" s="64">
        <f t="shared" ref="X472:Y472" si="2438">IF(O472&gt;0,O472/K472,0)</f>
        <v>0</v>
      </c>
      <c r="Y472" s="64">
        <f t="shared" si="2438"/>
        <v>0</v>
      </c>
      <c r="Z472" s="64">
        <f t="shared" si="2399"/>
        <v>0</v>
      </c>
      <c r="AA472" s="65"/>
      <c r="AB472" s="65"/>
      <c r="AC472" s="65"/>
      <c r="AD472" s="65"/>
      <c r="AE472" s="66"/>
      <c r="AF472" s="66"/>
      <c r="AG472" s="66"/>
      <c r="AH472" s="66"/>
      <c r="AI472" s="65"/>
      <c r="AJ472" s="65"/>
      <c r="AK472" s="65"/>
      <c r="AL472" s="65"/>
      <c r="AM472" s="65"/>
      <c r="AN472" s="65"/>
      <c r="AO472" s="65"/>
      <c r="AP472" s="65"/>
      <c r="AQ472" s="65"/>
      <c r="AR472" s="65"/>
      <c r="AS472" s="65"/>
      <c r="AT472" s="65"/>
      <c r="AU472" s="65"/>
      <c r="AV472" s="65"/>
      <c r="AW472" s="65"/>
      <c r="AX472" s="65"/>
      <c r="AY472" s="65"/>
      <c r="AZ472" s="65"/>
      <c r="BA472" s="65"/>
      <c r="BB472" s="65"/>
      <c r="BC472" s="65"/>
      <c r="BD472" s="65"/>
      <c r="BE472" s="65"/>
      <c r="BF472" s="65"/>
      <c r="BG472" s="65"/>
      <c r="BH472" s="65"/>
      <c r="BI472" s="65"/>
      <c r="BJ472" s="65"/>
      <c r="BK472" s="65">
        <v>0</v>
      </c>
      <c r="BL472" s="65">
        <v>0</v>
      </c>
      <c r="BM472" s="65">
        <v>0</v>
      </c>
      <c r="BN472" s="65">
        <f t="shared" ref="BN472:BN476" si="2439">IF(O472-BK472&gt;0,O472-BK472,0)</f>
        <v>0</v>
      </c>
      <c r="BO472" s="67">
        <f t="shared" ref="BO472:BO476" si="2440">IF(Q472-BM472&gt;0,Q472-BM472,0)</f>
        <v>0</v>
      </c>
      <c r="BP472" s="65">
        <f t="shared" ref="BP472:BP476" si="2441">IF(BN472+BO472&gt;0,BN472+BO472,0)</f>
        <v>0</v>
      </c>
      <c r="BQ472" s="65">
        <f t="shared" ref="BQ472:BQ476" si="2442">IF(U472=0,0,U472)</f>
        <v>0</v>
      </c>
      <c r="BR472" s="65">
        <f t="shared" ref="BR472:BR476" si="2443">IF(W472=0,0,W472)</f>
        <v>0</v>
      </c>
      <c r="BS472" s="65">
        <f t="shared" ref="BS472:BS476" si="2444">IF(BQ472+BR472&gt;0,BQ472+BR472,0)</f>
        <v>0</v>
      </c>
      <c r="BT472" s="65">
        <f t="shared" ref="BT472:BT476" si="2445">IF(V472&gt;0,V472,0)</f>
        <v>200</v>
      </c>
      <c r="BU472" s="65">
        <f t="shared" ref="BU472:BU476" si="2446">IF(BP472=0,0,BP472)</f>
        <v>0</v>
      </c>
      <c r="BV472" s="65">
        <f t="shared" ref="BV472:BV476" si="2447">IF(BS472=0,0,BS472)</f>
        <v>0</v>
      </c>
      <c r="BW472" s="65">
        <f t="shared" ref="BW472:BW476" si="2448">IF(BP472+BT472+BV472&gt;0,BP472+BT472+BV472,0)</f>
        <v>200</v>
      </c>
      <c r="BX472" s="6"/>
      <c r="BY472" s="6"/>
      <c r="BZ472" s="6"/>
      <c r="CA472" s="6"/>
      <c r="CB472" s="6"/>
      <c r="CC472" s="6"/>
      <c r="CD472" s="6"/>
      <c r="CE472" s="6"/>
      <c r="CF472" s="6"/>
      <c r="CG472" s="6"/>
    </row>
    <row r="473" spans="1:85" ht="15.75" customHeight="1">
      <c r="A473" s="121"/>
      <c r="B473" s="121" t="s">
        <v>609</v>
      </c>
      <c r="C473" s="176" t="s">
        <v>181</v>
      </c>
      <c r="D473" s="171" t="s">
        <v>610</v>
      </c>
      <c r="E473" s="99">
        <v>0</v>
      </c>
      <c r="F473" s="99">
        <v>0</v>
      </c>
      <c r="G473" s="58">
        <f t="shared" si="2432"/>
        <v>0</v>
      </c>
      <c r="H473" s="56">
        <v>50000</v>
      </c>
      <c r="I473" s="59">
        <f t="shared" si="2394"/>
        <v>0</v>
      </c>
      <c r="J473" s="59">
        <f t="shared" si="2395"/>
        <v>0</v>
      </c>
      <c r="K473" s="60">
        <v>0</v>
      </c>
      <c r="L473" s="100">
        <f>3304.45+15654.05</f>
        <v>18958.5</v>
      </c>
      <c r="M473" s="100">
        <v>0</v>
      </c>
      <c r="N473" s="349">
        <v>0</v>
      </c>
      <c r="O473" s="61">
        <f t="shared" ref="O473:Q473" si="2449">AA473+AD473+AG473+AJ473+AM473+AP473+AS473+AV473+AY473+BB473+BE473+BH473</f>
        <v>0</v>
      </c>
      <c r="P473" s="61">
        <f t="shared" si="2449"/>
        <v>16879.349999999999</v>
      </c>
      <c r="Q473" s="61">
        <f t="shared" si="2449"/>
        <v>0</v>
      </c>
      <c r="R473" s="61">
        <f t="shared" ref="R473:T473" si="2450">IF(BK473=0,SUM(AA473+AD473+AG473+AJ473+AM473+AP473+AS473+AV473+AY473+BB473+BE473+BH473),BK473)</f>
        <v>0</v>
      </c>
      <c r="S473" s="61">
        <f t="shared" si="2450"/>
        <v>16879.349999999999</v>
      </c>
      <c r="T473" s="61">
        <f t="shared" si="2450"/>
        <v>0</v>
      </c>
      <c r="U473" s="208">
        <f t="shared" si="2435"/>
        <v>0</v>
      </c>
      <c r="V473" s="62">
        <f t="shared" si="2436"/>
        <v>2079.1500000000015</v>
      </c>
      <c r="W473" s="63">
        <f t="shared" si="2437"/>
        <v>0</v>
      </c>
      <c r="X473" s="64">
        <f t="shared" ref="X473:Y473" si="2451">IF(O473&gt;0,O473/K473,0)</f>
        <v>0</v>
      </c>
      <c r="Y473" s="64">
        <f t="shared" si="2451"/>
        <v>0.89033151356911144</v>
      </c>
      <c r="Z473" s="64">
        <f t="shared" si="2399"/>
        <v>0</v>
      </c>
      <c r="AA473" s="65"/>
      <c r="AB473" s="65"/>
      <c r="AC473" s="65"/>
      <c r="AD473" s="65"/>
      <c r="AE473" s="113">
        <v>15654.05</v>
      </c>
      <c r="AF473" s="66"/>
      <c r="AG473" s="66"/>
      <c r="AH473" s="66"/>
      <c r="AI473" s="65"/>
      <c r="AJ473" s="65"/>
      <c r="AK473" s="65"/>
      <c r="AL473" s="65"/>
      <c r="AM473" s="65"/>
      <c r="AN473" s="65"/>
      <c r="AO473" s="65"/>
      <c r="AP473" s="65"/>
      <c r="AQ473" s="65">
        <f>1225.3</f>
        <v>1225.3</v>
      </c>
      <c r="AR473" s="65"/>
      <c r="AS473" s="65"/>
      <c r="AT473" s="65"/>
      <c r="AU473" s="65"/>
      <c r="AV473" s="65"/>
      <c r="AW473" s="65"/>
      <c r="AX473" s="65"/>
      <c r="AY473" s="65"/>
      <c r="AZ473" s="65"/>
      <c r="BA473" s="65"/>
      <c r="BB473" s="65"/>
      <c r="BC473" s="65"/>
      <c r="BD473" s="65"/>
      <c r="BE473" s="65"/>
      <c r="BF473" s="65"/>
      <c r="BG473" s="65"/>
      <c r="BH473" s="65"/>
      <c r="BI473" s="65"/>
      <c r="BJ473" s="65"/>
      <c r="BK473" s="65">
        <v>0</v>
      </c>
      <c r="BL473" s="65">
        <v>0</v>
      </c>
      <c r="BM473" s="65">
        <v>0</v>
      </c>
      <c r="BN473" s="65">
        <f t="shared" si="2439"/>
        <v>0</v>
      </c>
      <c r="BO473" s="67">
        <f t="shared" si="2440"/>
        <v>0</v>
      </c>
      <c r="BP473" s="65">
        <f t="shared" si="2441"/>
        <v>0</v>
      </c>
      <c r="BQ473" s="65">
        <f t="shared" si="2442"/>
        <v>0</v>
      </c>
      <c r="BR473" s="65">
        <f t="shared" si="2443"/>
        <v>0</v>
      </c>
      <c r="BS473" s="65">
        <f t="shared" si="2444"/>
        <v>0</v>
      </c>
      <c r="BT473" s="65">
        <f t="shared" si="2445"/>
        <v>2079.1500000000015</v>
      </c>
      <c r="BU473" s="65">
        <f t="shared" si="2446"/>
        <v>0</v>
      </c>
      <c r="BV473" s="65">
        <f t="shared" si="2447"/>
        <v>0</v>
      </c>
      <c r="BW473" s="65">
        <f t="shared" si="2448"/>
        <v>2079.1500000000015</v>
      </c>
      <c r="BX473" s="6"/>
      <c r="BY473" s="6"/>
      <c r="BZ473" s="6"/>
      <c r="CA473" s="6"/>
      <c r="CB473" s="6"/>
      <c r="CC473" s="6"/>
      <c r="CD473" s="6"/>
      <c r="CE473" s="6"/>
      <c r="CF473" s="6"/>
      <c r="CG473" s="6"/>
    </row>
    <row r="474" spans="1:85" ht="15.75" customHeight="1">
      <c r="A474" s="185" t="s">
        <v>611</v>
      </c>
      <c r="B474" s="186"/>
      <c r="C474" s="71" t="s">
        <v>314</v>
      </c>
      <c r="D474" s="73" t="s">
        <v>612</v>
      </c>
      <c r="E474" s="99">
        <v>0</v>
      </c>
      <c r="F474" s="99">
        <v>0</v>
      </c>
      <c r="G474" s="58">
        <f t="shared" si="2432"/>
        <v>0</v>
      </c>
      <c r="H474" s="99">
        <v>0</v>
      </c>
      <c r="I474" s="59">
        <f t="shared" si="2394"/>
        <v>0</v>
      </c>
      <c r="J474" s="59">
        <f t="shared" si="2395"/>
        <v>0</v>
      </c>
      <c r="K474" s="74">
        <v>0</v>
      </c>
      <c r="L474" s="74">
        <v>0</v>
      </c>
      <c r="M474" s="74">
        <v>0</v>
      </c>
      <c r="N474" s="74">
        <v>5500</v>
      </c>
      <c r="O474" s="61">
        <f t="shared" ref="O474:Q474" si="2452">AA474+AD474+AG474+AJ474+AM474+AP474+AS474+AV474+AY474+BB474+BE474+BH474</f>
        <v>0</v>
      </c>
      <c r="P474" s="61">
        <f t="shared" si="2452"/>
        <v>0</v>
      </c>
      <c r="Q474" s="170">
        <f t="shared" si="2452"/>
        <v>5500</v>
      </c>
      <c r="R474" s="61">
        <f t="shared" ref="R474:T474" si="2453">IF(BK474=0,SUM(AA474+AD474+AG474+AJ474+AM474+AP474+AS474+AV474+AY474+BB474+BE474+BH474),BK474)</f>
        <v>0</v>
      </c>
      <c r="S474" s="61">
        <f t="shared" si="2453"/>
        <v>0</v>
      </c>
      <c r="T474" s="61">
        <f t="shared" si="2453"/>
        <v>5500</v>
      </c>
      <c r="U474" s="63">
        <f t="shared" si="2435"/>
        <v>0</v>
      </c>
      <c r="V474" s="63">
        <f t="shared" si="2436"/>
        <v>0</v>
      </c>
      <c r="W474" s="63">
        <f t="shared" si="2437"/>
        <v>0</v>
      </c>
      <c r="X474" s="64">
        <f t="shared" ref="X474:Y474" si="2454">IF(O474&gt;0,O474/K474,0)</f>
        <v>0</v>
      </c>
      <c r="Y474" s="64">
        <f t="shared" si="2454"/>
        <v>0</v>
      </c>
      <c r="Z474" s="64">
        <f t="shared" si="2399"/>
        <v>1</v>
      </c>
      <c r="AA474" s="65"/>
      <c r="AB474" s="65"/>
      <c r="AC474" s="65"/>
      <c r="AD474" s="65"/>
      <c r="AE474" s="66"/>
      <c r="AF474" s="66"/>
      <c r="AG474" s="66"/>
      <c r="AH474" s="66"/>
      <c r="AI474" s="65"/>
      <c r="AJ474" s="65"/>
      <c r="AK474" s="65"/>
      <c r="AL474" s="100">
        <v>5500</v>
      </c>
      <c r="AM474" s="65"/>
      <c r="AN474" s="65"/>
      <c r="AO474" s="65"/>
      <c r="AP474" s="65"/>
      <c r="AQ474" s="65"/>
      <c r="AR474" s="65"/>
      <c r="AS474" s="65"/>
      <c r="AT474" s="65"/>
      <c r="AU474" s="65"/>
      <c r="AV474" s="65"/>
      <c r="AW474" s="65"/>
      <c r="AX474" s="65"/>
      <c r="AY474" s="65"/>
      <c r="AZ474" s="65"/>
      <c r="BA474" s="65"/>
      <c r="BB474" s="65"/>
      <c r="BC474" s="65"/>
      <c r="BD474" s="65"/>
      <c r="BE474" s="65"/>
      <c r="BF474" s="65"/>
      <c r="BG474" s="65"/>
      <c r="BH474" s="65"/>
      <c r="BI474" s="65"/>
      <c r="BJ474" s="65"/>
      <c r="BK474" s="65">
        <v>0</v>
      </c>
      <c r="BL474" s="65">
        <v>0</v>
      </c>
      <c r="BM474" s="65">
        <v>0</v>
      </c>
      <c r="BN474" s="65">
        <f t="shared" si="2439"/>
        <v>0</v>
      </c>
      <c r="BO474" s="67">
        <f t="shared" si="2440"/>
        <v>5500</v>
      </c>
      <c r="BP474" s="65">
        <f t="shared" si="2441"/>
        <v>5500</v>
      </c>
      <c r="BQ474" s="65">
        <f t="shared" si="2442"/>
        <v>0</v>
      </c>
      <c r="BR474" s="65">
        <f t="shared" si="2443"/>
        <v>0</v>
      </c>
      <c r="BS474" s="65">
        <f t="shared" si="2444"/>
        <v>0</v>
      </c>
      <c r="BT474" s="65">
        <f t="shared" si="2445"/>
        <v>0</v>
      </c>
      <c r="BU474" s="65">
        <f t="shared" si="2446"/>
        <v>5500</v>
      </c>
      <c r="BV474" s="65">
        <f t="shared" si="2447"/>
        <v>0</v>
      </c>
      <c r="BW474" s="65">
        <f t="shared" si="2448"/>
        <v>5500</v>
      </c>
      <c r="BX474" s="6"/>
      <c r="BY474" s="6"/>
      <c r="BZ474" s="6"/>
      <c r="CA474" s="6"/>
      <c r="CB474" s="6"/>
      <c r="CC474" s="6"/>
      <c r="CD474" s="6"/>
      <c r="CE474" s="6"/>
      <c r="CF474" s="6"/>
      <c r="CG474" s="6"/>
    </row>
    <row r="475" spans="1:85" ht="15.75" customHeight="1">
      <c r="A475" s="355"/>
      <c r="B475" s="169"/>
      <c r="C475" s="68" t="s">
        <v>613</v>
      </c>
      <c r="D475" s="105" t="s">
        <v>614</v>
      </c>
      <c r="E475" s="99">
        <v>0</v>
      </c>
      <c r="F475" s="99">
        <v>0</v>
      </c>
      <c r="G475" s="58">
        <f t="shared" si="2432"/>
        <v>0</v>
      </c>
      <c r="H475" s="56">
        <v>100000</v>
      </c>
      <c r="I475" s="59">
        <f t="shared" si="2394"/>
        <v>0</v>
      </c>
      <c r="J475" s="59">
        <f t="shared" si="2395"/>
        <v>0</v>
      </c>
      <c r="K475" s="74">
        <v>0</v>
      </c>
      <c r="L475" s="74">
        <v>0</v>
      </c>
      <c r="M475" s="74">
        <v>0</v>
      </c>
      <c r="N475" s="74">
        <v>0</v>
      </c>
      <c r="O475" s="61">
        <f t="shared" ref="O475:Q475" si="2455">AA475+AD475+AG475+AJ475+AM475+AP475+AS475+AV475+AY475+BB475+BE475+BH475</f>
        <v>0</v>
      </c>
      <c r="P475" s="61">
        <f t="shared" si="2455"/>
        <v>0</v>
      </c>
      <c r="Q475" s="61">
        <f t="shared" si="2455"/>
        <v>0</v>
      </c>
      <c r="R475" s="61">
        <f t="shared" ref="R475:T475" si="2456">IF(BK475=0,SUM(AA475+AD475+AG475+AJ475+AM475+AP475+AS475+AV475+AY475+BB475+BE475+BH475),BK475)</f>
        <v>0</v>
      </c>
      <c r="S475" s="61">
        <f t="shared" si="2456"/>
        <v>0</v>
      </c>
      <c r="T475" s="61">
        <f t="shared" si="2456"/>
        <v>0</v>
      </c>
      <c r="U475" s="63">
        <f t="shared" si="2435"/>
        <v>0</v>
      </c>
      <c r="V475" s="63">
        <f t="shared" si="2436"/>
        <v>0</v>
      </c>
      <c r="W475" s="63">
        <f t="shared" si="2437"/>
        <v>0</v>
      </c>
      <c r="X475" s="64">
        <f t="shared" ref="X475:Y475" si="2457">IF(O475&gt;0,O475/K475,0)</f>
        <v>0</v>
      </c>
      <c r="Y475" s="64">
        <f t="shared" si="2457"/>
        <v>0</v>
      </c>
      <c r="Z475" s="64">
        <f t="shared" si="2399"/>
        <v>0</v>
      </c>
      <c r="AA475" s="65"/>
      <c r="AB475" s="65"/>
      <c r="AC475" s="65"/>
      <c r="AD475" s="65"/>
      <c r="AE475" s="66"/>
      <c r="AF475" s="66"/>
      <c r="AG475" s="66"/>
      <c r="AH475" s="66"/>
      <c r="AI475" s="65"/>
      <c r="AJ475" s="65"/>
      <c r="AK475" s="65"/>
      <c r="AL475" s="65"/>
      <c r="AM475" s="65"/>
      <c r="AN475" s="65"/>
      <c r="AO475" s="65"/>
      <c r="AP475" s="65"/>
      <c r="AQ475" s="65"/>
      <c r="AR475" s="65"/>
      <c r="AS475" s="65"/>
      <c r="AT475" s="65"/>
      <c r="AU475" s="65"/>
      <c r="AV475" s="65"/>
      <c r="AW475" s="65"/>
      <c r="AX475" s="65"/>
      <c r="AY475" s="65"/>
      <c r="AZ475" s="65"/>
      <c r="BA475" s="65"/>
      <c r="BB475" s="65"/>
      <c r="BC475" s="65"/>
      <c r="BD475" s="65"/>
      <c r="BE475" s="65"/>
      <c r="BF475" s="65"/>
      <c r="BG475" s="65"/>
      <c r="BH475" s="65"/>
      <c r="BI475" s="65"/>
      <c r="BJ475" s="65"/>
      <c r="BK475" s="65">
        <v>0</v>
      </c>
      <c r="BL475" s="65">
        <v>0</v>
      </c>
      <c r="BM475" s="65">
        <v>0</v>
      </c>
      <c r="BN475" s="65">
        <f t="shared" si="2439"/>
        <v>0</v>
      </c>
      <c r="BO475" s="67">
        <f t="shared" si="2440"/>
        <v>0</v>
      </c>
      <c r="BP475" s="65">
        <f t="shared" si="2441"/>
        <v>0</v>
      </c>
      <c r="BQ475" s="65">
        <f t="shared" si="2442"/>
        <v>0</v>
      </c>
      <c r="BR475" s="65">
        <f t="shared" si="2443"/>
        <v>0</v>
      </c>
      <c r="BS475" s="65">
        <f t="shared" si="2444"/>
        <v>0</v>
      </c>
      <c r="BT475" s="65">
        <f t="shared" si="2445"/>
        <v>0</v>
      </c>
      <c r="BU475" s="65">
        <f t="shared" si="2446"/>
        <v>0</v>
      </c>
      <c r="BV475" s="65">
        <f t="shared" si="2447"/>
        <v>0</v>
      </c>
      <c r="BW475" s="65">
        <f t="shared" si="2448"/>
        <v>0</v>
      </c>
      <c r="BX475" s="6"/>
      <c r="BY475" s="6"/>
      <c r="BZ475" s="6"/>
      <c r="CA475" s="6"/>
      <c r="CB475" s="6"/>
      <c r="CC475" s="6"/>
      <c r="CD475" s="6"/>
      <c r="CE475" s="6"/>
      <c r="CF475" s="6"/>
      <c r="CG475" s="6"/>
    </row>
    <row r="476" spans="1:85" ht="15.75" customHeight="1">
      <c r="A476" s="68"/>
      <c r="B476" s="103"/>
      <c r="C476" s="104" t="s">
        <v>613</v>
      </c>
      <c r="D476" s="70" t="s">
        <v>615</v>
      </c>
      <c r="E476" s="99">
        <v>0</v>
      </c>
      <c r="F476" s="99">
        <v>0</v>
      </c>
      <c r="G476" s="58">
        <f t="shared" si="2432"/>
        <v>0</v>
      </c>
      <c r="H476" s="56">
        <v>5000</v>
      </c>
      <c r="I476" s="59">
        <f t="shared" si="2394"/>
        <v>0</v>
      </c>
      <c r="J476" s="59">
        <f t="shared" si="2395"/>
        <v>0</v>
      </c>
      <c r="K476" s="74">
        <v>0</v>
      </c>
      <c r="L476" s="74">
        <v>0</v>
      </c>
      <c r="M476" s="74">
        <v>0</v>
      </c>
      <c r="N476" s="74">
        <v>0</v>
      </c>
      <c r="O476" s="61">
        <f t="shared" ref="O476:Q476" si="2458">AA476+AD476+AG476+AJ476+AM476+AP476+AS476+AV476+AY476+BB476+BE476+BH476</f>
        <v>0</v>
      </c>
      <c r="P476" s="61">
        <f t="shared" si="2458"/>
        <v>0</v>
      </c>
      <c r="Q476" s="61">
        <f t="shared" si="2458"/>
        <v>0</v>
      </c>
      <c r="R476" s="61">
        <f t="shared" ref="R476:T476" si="2459">IF(BK476=0,SUM(AA476+AD476+AG476+AJ476+AM476+AP476+AS476+AV476+AY476+BB476+BE476+BH476),BK476)</f>
        <v>0</v>
      </c>
      <c r="S476" s="61">
        <f t="shared" si="2459"/>
        <v>0</v>
      </c>
      <c r="T476" s="61">
        <f t="shared" si="2459"/>
        <v>0</v>
      </c>
      <c r="U476" s="63">
        <f t="shared" si="2435"/>
        <v>0</v>
      </c>
      <c r="V476" s="63">
        <f t="shared" si="2436"/>
        <v>0</v>
      </c>
      <c r="W476" s="63">
        <f t="shared" si="2437"/>
        <v>0</v>
      </c>
      <c r="X476" s="64">
        <f t="shared" ref="X476:Y476" si="2460">IF(O476&gt;0,O476/K476,0)</f>
        <v>0</v>
      </c>
      <c r="Y476" s="64">
        <f t="shared" si="2460"/>
        <v>0</v>
      </c>
      <c r="Z476" s="64">
        <f t="shared" si="2399"/>
        <v>0</v>
      </c>
      <c r="AA476" s="65"/>
      <c r="AB476" s="65"/>
      <c r="AC476" s="65"/>
      <c r="AD476" s="65"/>
      <c r="AE476" s="66"/>
      <c r="AF476" s="66"/>
      <c r="AG476" s="66"/>
      <c r="AH476" s="66"/>
      <c r="AI476" s="65"/>
      <c r="AJ476" s="65"/>
      <c r="AK476" s="65"/>
      <c r="AL476" s="65"/>
      <c r="AM476" s="65"/>
      <c r="AN476" s="65"/>
      <c r="AO476" s="65"/>
      <c r="AP476" s="65"/>
      <c r="AQ476" s="65"/>
      <c r="AR476" s="65"/>
      <c r="AS476" s="65"/>
      <c r="AT476" s="65"/>
      <c r="AU476" s="65"/>
      <c r="AV476" s="65"/>
      <c r="AW476" s="65"/>
      <c r="AX476" s="65"/>
      <c r="AY476" s="65"/>
      <c r="AZ476" s="65"/>
      <c r="BA476" s="65"/>
      <c r="BB476" s="65"/>
      <c r="BC476" s="65"/>
      <c r="BD476" s="65"/>
      <c r="BE476" s="65"/>
      <c r="BF476" s="65"/>
      <c r="BG476" s="65"/>
      <c r="BH476" s="65"/>
      <c r="BI476" s="65"/>
      <c r="BJ476" s="65"/>
      <c r="BK476" s="65">
        <v>0</v>
      </c>
      <c r="BL476" s="65">
        <v>0</v>
      </c>
      <c r="BM476" s="65">
        <v>0</v>
      </c>
      <c r="BN476" s="65">
        <f t="shared" si="2439"/>
        <v>0</v>
      </c>
      <c r="BO476" s="67">
        <f t="shared" si="2440"/>
        <v>0</v>
      </c>
      <c r="BP476" s="65">
        <f t="shared" si="2441"/>
        <v>0</v>
      </c>
      <c r="BQ476" s="65">
        <f t="shared" si="2442"/>
        <v>0</v>
      </c>
      <c r="BR476" s="65">
        <f t="shared" si="2443"/>
        <v>0</v>
      </c>
      <c r="BS476" s="65">
        <f t="shared" si="2444"/>
        <v>0</v>
      </c>
      <c r="BT476" s="65">
        <f t="shared" si="2445"/>
        <v>0</v>
      </c>
      <c r="BU476" s="65">
        <f t="shared" si="2446"/>
        <v>0</v>
      </c>
      <c r="BV476" s="65">
        <f t="shared" si="2447"/>
        <v>0</v>
      </c>
      <c r="BW476" s="65">
        <f t="shared" si="2448"/>
        <v>0</v>
      </c>
      <c r="BX476" s="6"/>
      <c r="BY476" s="6"/>
      <c r="BZ476" s="6"/>
      <c r="CA476" s="6"/>
      <c r="CB476" s="6"/>
      <c r="CC476" s="6"/>
      <c r="CD476" s="6"/>
      <c r="CE476" s="6"/>
      <c r="CF476" s="6"/>
      <c r="CG476" s="6"/>
    </row>
    <row r="477" spans="1:85" ht="15.75">
      <c r="A477" s="75"/>
      <c r="B477" s="76"/>
      <c r="C477" s="77"/>
      <c r="D477" s="78" t="s">
        <v>223</v>
      </c>
      <c r="E477" s="45">
        <f t="shared" ref="E477:H477" si="2461">SUM(E478)</f>
        <v>0</v>
      </c>
      <c r="F477" s="46">
        <f t="shared" si="2461"/>
        <v>0</v>
      </c>
      <c r="G477" s="46">
        <f t="shared" si="2461"/>
        <v>0</v>
      </c>
      <c r="H477" s="46">
        <f t="shared" si="2461"/>
        <v>130827.36</v>
      </c>
      <c r="I477" s="47">
        <f t="shared" si="2394"/>
        <v>0</v>
      </c>
      <c r="J477" s="47">
        <f t="shared" si="2395"/>
        <v>0</v>
      </c>
      <c r="K477" s="46">
        <f t="shared" ref="K477:W477" si="2462">SUM(K478)</f>
        <v>0</v>
      </c>
      <c r="L477" s="46">
        <f t="shared" si="2462"/>
        <v>6079.6</v>
      </c>
      <c r="M477" s="46">
        <f t="shared" si="2462"/>
        <v>0</v>
      </c>
      <c r="N477" s="46">
        <f t="shared" si="2462"/>
        <v>278728.50999999995</v>
      </c>
      <c r="O477" s="46">
        <f t="shared" si="2462"/>
        <v>0</v>
      </c>
      <c r="P477" s="46">
        <f t="shared" si="2462"/>
        <v>6079.6</v>
      </c>
      <c r="Q477" s="46">
        <f t="shared" si="2462"/>
        <v>99890.85</v>
      </c>
      <c r="R477" s="46">
        <f t="shared" si="2462"/>
        <v>0</v>
      </c>
      <c r="S477" s="46">
        <f t="shared" si="2462"/>
        <v>6079.6</v>
      </c>
      <c r="T477" s="46">
        <f t="shared" si="2462"/>
        <v>99890.85</v>
      </c>
      <c r="U477" s="46">
        <f t="shared" si="2462"/>
        <v>0</v>
      </c>
      <c r="V477" s="46">
        <f t="shared" si="2462"/>
        <v>0</v>
      </c>
      <c r="W477" s="46">
        <f t="shared" si="2462"/>
        <v>178837.65999999995</v>
      </c>
      <c r="X477" s="50">
        <f t="shared" ref="X477:Y477" si="2463">IF(O477&gt;0,O477/K477,0)</f>
        <v>0</v>
      </c>
      <c r="Y477" s="50">
        <f t="shared" si="2463"/>
        <v>1</v>
      </c>
      <c r="Z477" s="50">
        <f t="shared" si="2399"/>
        <v>0.35838045415590974</v>
      </c>
      <c r="AA477" s="46">
        <f t="shared" ref="AA477:BW477" si="2464">SUM(AA478)</f>
        <v>0</v>
      </c>
      <c r="AB477" s="46">
        <f t="shared" si="2464"/>
        <v>6079.6</v>
      </c>
      <c r="AC477" s="46">
        <f t="shared" si="2464"/>
        <v>0</v>
      </c>
      <c r="AD477" s="46">
        <f t="shared" si="2464"/>
        <v>0</v>
      </c>
      <c r="AE477" s="46">
        <f t="shared" si="2464"/>
        <v>0</v>
      </c>
      <c r="AF477" s="46">
        <f t="shared" si="2464"/>
        <v>28141.64</v>
      </c>
      <c r="AG477" s="46">
        <f t="shared" si="2464"/>
        <v>0</v>
      </c>
      <c r="AH477" s="46">
        <f t="shared" si="2464"/>
        <v>0</v>
      </c>
      <c r="AI477" s="46">
        <f t="shared" si="2464"/>
        <v>1614</v>
      </c>
      <c r="AJ477" s="46">
        <f t="shared" si="2464"/>
        <v>0</v>
      </c>
      <c r="AK477" s="46">
        <f t="shared" si="2464"/>
        <v>0</v>
      </c>
      <c r="AL477" s="46">
        <f t="shared" si="2464"/>
        <v>20244.36</v>
      </c>
      <c r="AM477" s="46">
        <f t="shared" si="2464"/>
        <v>0</v>
      </c>
      <c r="AN477" s="46">
        <f t="shared" si="2464"/>
        <v>0</v>
      </c>
      <c r="AO477" s="46">
        <f t="shared" si="2464"/>
        <v>0</v>
      </c>
      <c r="AP477" s="46">
        <f t="shared" si="2464"/>
        <v>0</v>
      </c>
      <c r="AQ477" s="46">
        <f t="shared" si="2464"/>
        <v>0</v>
      </c>
      <c r="AR477" s="46">
        <f t="shared" si="2464"/>
        <v>49890.85</v>
      </c>
      <c r="AS477" s="46">
        <f t="shared" si="2464"/>
        <v>0</v>
      </c>
      <c r="AT477" s="46">
        <f t="shared" si="2464"/>
        <v>0</v>
      </c>
      <c r="AU477" s="46">
        <f t="shared" si="2464"/>
        <v>0</v>
      </c>
      <c r="AV477" s="46">
        <f t="shared" si="2464"/>
        <v>0</v>
      </c>
      <c r="AW477" s="46">
        <f t="shared" si="2464"/>
        <v>0</v>
      </c>
      <c r="AX477" s="46">
        <f t="shared" si="2464"/>
        <v>0</v>
      </c>
      <c r="AY477" s="46">
        <f t="shared" si="2464"/>
        <v>0</v>
      </c>
      <c r="AZ477" s="46">
        <f t="shared" si="2464"/>
        <v>0</v>
      </c>
      <c r="BA477" s="46">
        <f t="shared" si="2464"/>
        <v>0</v>
      </c>
      <c r="BB477" s="46">
        <f t="shared" si="2464"/>
        <v>0</v>
      </c>
      <c r="BC477" s="46">
        <f t="shared" si="2464"/>
        <v>0</v>
      </c>
      <c r="BD477" s="46">
        <f t="shared" si="2464"/>
        <v>0</v>
      </c>
      <c r="BE477" s="46">
        <f t="shared" si="2464"/>
        <v>0</v>
      </c>
      <c r="BF477" s="46">
        <f t="shared" si="2464"/>
        <v>0</v>
      </c>
      <c r="BG477" s="46">
        <f t="shared" si="2464"/>
        <v>0</v>
      </c>
      <c r="BH477" s="46">
        <f t="shared" si="2464"/>
        <v>0</v>
      </c>
      <c r="BI477" s="46">
        <f t="shared" si="2464"/>
        <v>0</v>
      </c>
      <c r="BJ477" s="46">
        <f t="shared" si="2464"/>
        <v>0</v>
      </c>
      <c r="BK477" s="46">
        <f t="shared" si="2464"/>
        <v>0</v>
      </c>
      <c r="BL477" s="46">
        <f t="shared" si="2464"/>
        <v>0</v>
      </c>
      <c r="BM477" s="46">
        <f t="shared" si="2464"/>
        <v>0</v>
      </c>
      <c r="BN477" s="46">
        <f t="shared" si="2464"/>
        <v>0</v>
      </c>
      <c r="BO477" s="46">
        <f t="shared" si="2464"/>
        <v>99890.85</v>
      </c>
      <c r="BP477" s="46">
        <f t="shared" si="2464"/>
        <v>99890.85</v>
      </c>
      <c r="BQ477" s="46">
        <f t="shared" si="2464"/>
        <v>0</v>
      </c>
      <c r="BR477" s="46">
        <f t="shared" si="2464"/>
        <v>178837.65999999995</v>
      </c>
      <c r="BS477" s="46">
        <f t="shared" si="2464"/>
        <v>178837.65999999995</v>
      </c>
      <c r="BT477" s="46">
        <f t="shared" si="2464"/>
        <v>0</v>
      </c>
      <c r="BU477" s="46">
        <f t="shared" si="2464"/>
        <v>99890.85</v>
      </c>
      <c r="BV477" s="46">
        <f t="shared" si="2464"/>
        <v>178837.65999999995</v>
      </c>
      <c r="BW477" s="46">
        <f t="shared" si="2464"/>
        <v>278728.50999999995</v>
      </c>
      <c r="BX477" s="51"/>
      <c r="BY477" s="51"/>
      <c r="BZ477" s="51"/>
      <c r="CA477" s="51"/>
      <c r="CB477" s="51"/>
      <c r="CC477" s="51"/>
      <c r="CD477" s="51"/>
      <c r="CE477" s="51"/>
      <c r="CF477" s="51"/>
      <c r="CG477" s="51"/>
    </row>
    <row r="478" spans="1:85" ht="15.75" customHeight="1">
      <c r="A478" s="104" t="s">
        <v>616</v>
      </c>
      <c r="B478" s="196" t="s">
        <v>617</v>
      </c>
      <c r="C478" s="68" t="s">
        <v>224</v>
      </c>
      <c r="D478" s="70" t="s">
        <v>618</v>
      </c>
      <c r="E478" s="99">
        <v>0</v>
      </c>
      <c r="F478" s="99">
        <v>0</v>
      </c>
      <c r="G478" s="58">
        <f>E478-F478</f>
        <v>0</v>
      </c>
      <c r="H478" s="56">
        <v>130827.36</v>
      </c>
      <c r="I478" s="59">
        <f t="shared" si="2394"/>
        <v>0</v>
      </c>
      <c r="J478" s="59">
        <f t="shared" si="2395"/>
        <v>0</v>
      </c>
      <c r="K478" s="60">
        <v>0</v>
      </c>
      <c r="L478" s="100">
        <v>6079.6</v>
      </c>
      <c r="M478" s="100">
        <v>0</v>
      </c>
      <c r="N478" s="60">
        <f>50000+179062.11+49992.8-326.4</f>
        <v>278728.50999999995</v>
      </c>
      <c r="O478" s="61">
        <f t="shared" ref="O478:Q478" si="2465">AA478+AD478+AG478+AJ478+AM478+AP478+AS478+AV478+AY478+BB478+BE478+BH478</f>
        <v>0</v>
      </c>
      <c r="P478" s="61">
        <f t="shared" si="2465"/>
        <v>6079.6</v>
      </c>
      <c r="Q478" s="170">
        <f t="shared" si="2465"/>
        <v>99890.85</v>
      </c>
      <c r="R478" s="61">
        <f t="shared" ref="R478:T478" si="2466">IF(BK478=0,SUM(AA478+AD478+AG478+AJ478+AM478+AP478+AS478+AV478+AY478+BB478+BE478+BH478),BK478)</f>
        <v>0</v>
      </c>
      <c r="S478" s="61">
        <f t="shared" si="2466"/>
        <v>6079.6</v>
      </c>
      <c r="T478" s="61">
        <f t="shared" si="2466"/>
        <v>99890.85</v>
      </c>
      <c r="U478" s="63">
        <f>K478-O478</f>
        <v>0</v>
      </c>
      <c r="V478" s="63">
        <f>L478-M478-S478</f>
        <v>0</v>
      </c>
      <c r="W478" s="62">
        <f>N478-Q478</f>
        <v>178837.65999999995</v>
      </c>
      <c r="X478" s="64">
        <f t="shared" ref="X478:Y478" si="2467">IF(O478&gt;0,O478/K478,0)</f>
        <v>0</v>
      </c>
      <c r="Y478" s="64">
        <f t="shared" si="2467"/>
        <v>1</v>
      </c>
      <c r="Z478" s="64">
        <f t="shared" si="2399"/>
        <v>0.35838045415590974</v>
      </c>
      <c r="AA478" s="65"/>
      <c r="AB478" s="100">
        <v>6079.6</v>
      </c>
      <c r="AC478" s="65"/>
      <c r="AD478" s="65"/>
      <c r="AE478" s="66"/>
      <c r="AF478" s="113">
        <v>28141.64</v>
      </c>
      <c r="AG478" s="66"/>
      <c r="AH478" s="66"/>
      <c r="AI478" s="100">
        <v>1614</v>
      </c>
      <c r="AJ478" s="100"/>
      <c r="AK478" s="65"/>
      <c r="AL478" s="100">
        <v>20244.36</v>
      </c>
      <c r="AM478" s="65"/>
      <c r="AN478" s="65"/>
      <c r="AO478" s="65"/>
      <c r="AP478" s="65"/>
      <c r="AQ478" s="65"/>
      <c r="AR478" s="65">
        <f>2097.01+47793.84</f>
        <v>49890.85</v>
      </c>
      <c r="AS478" s="65"/>
      <c r="AT478" s="65"/>
      <c r="AU478" s="65"/>
      <c r="AV478" s="65"/>
      <c r="AW478" s="65"/>
      <c r="AX478" s="65"/>
      <c r="AY478" s="65"/>
      <c r="AZ478" s="65"/>
      <c r="BA478" s="65"/>
      <c r="BB478" s="65"/>
      <c r="BC478" s="65"/>
      <c r="BD478" s="65"/>
      <c r="BE478" s="65"/>
      <c r="BF478" s="65"/>
      <c r="BG478" s="65"/>
      <c r="BH478" s="65"/>
      <c r="BI478" s="65"/>
      <c r="BJ478" s="65"/>
      <c r="BK478" s="65">
        <v>0</v>
      </c>
      <c r="BL478" s="65">
        <v>0</v>
      </c>
      <c r="BM478" s="65">
        <v>0</v>
      </c>
      <c r="BN478" s="65">
        <f>IF(O478-BK478&gt;0,O478-BK478,0)</f>
        <v>0</v>
      </c>
      <c r="BO478" s="67">
        <f>IF(Q478-BM478&gt;0,Q478-BM478,0)</f>
        <v>99890.85</v>
      </c>
      <c r="BP478" s="65">
        <f>IF(BN478+BO478&gt;0,BN478+BO478,0)</f>
        <v>99890.85</v>
      </c>
      <c r="BQ478" s="65">
        <f>IF(U478=0,0,U478)</f>
        <v>0</v>
      </c>
      <c r="BR478" s="65">
        <f>IF(W478=0,0,W478)</f>
        <v>178837.65999999995</v>
      </c>
      <c r="BS478" s="65">
        <f>IF(BQ478+BR478&gt;0,BQ478+BR478,0)</f>
        <v>178837.65999999995</v>
      </c>
      <c r="BT478" s="65">
        <f>IF(V478&gt;0,V478,0)</f>
        <v>0</v>
      </c>
      <c r="BU478" s="65">
        <f>IF(BP478=0,0,BP478)</f>
        <v>99890.85</v>
      </c>
      <c r="BV478" s="65">
        <f>IF(BS478=0,0,BS478)</f>
        <v>178837.65999999995</v>
      </c>
      <c r="BW478" s="65">
        <f>IF(BP478+BT478+BV478&gt;0,BP478+BT478+BV478,0)</f>
        <v>278728.50999999995</v>
      </c>
      <c r="BX478" s="6"/>
      <c r="BY478" s="6"/>
      <c r="BZ478" s="6"/>
      <c r="CA478" s="6"/>
      <c r="CB478" s="6"/>
      <c r="CC478" s="6"/>
      <c r="CD478" s="6"/>
      <c r="CE478" s="6"/>
      <c r="CF478" s="6"/>
      <c r="CG478" s="6"/>
    </row>
    <row r="479" spans="1:85" ht="15.75">
      <c r="A479" s="75"/>
      <c r="B479" s="76"/>
      <c r="C479" s="77"/>
      <c r="D479" s="78" t="s">
        <v>75</v>
      </c>
      <c r="E479" s="45">
        <f t="shared" ref="E479:H479" si="2468">SUM(E480)</f>
        <v>0</v>
      </c>
      <c r="F479" s="46">
        <f t="shared" si="2468"/>
        <v>0</v>
      </c>
      <c r="G479" s="46">
        <f t="shared" si="2468"/>
        <v>0</v>
      </c>
      <c r="H479" s="46">
        <f t="shared" si="2468"/>
        <v>0</v>
      </c>
      <c r="I479" s="47">
        <f t="shared" si="2394"/>
        <v>0</v>
      </c>
      <c r="J479" s="47">
        <f t="shared" si="2395"/>
        <v>0</v>
      </c>
      <c r="K479" s="46">
        <f t="shared" ref="K479:W479" si="2469">SUM(K480)</f>
        <v>0</v>
      </c>
      <c r="L479" s="46">
        <f t="shared" si="2469"/>
        <v>0</v>
      </c>
      <c r="M479" s="46">
        <f t="shared" si="2469"/>
        <v>0</v>
      </c>
      <c r="N479" s="46">
        <f t="shared" si="2469"/>
        <v>1500</v>
      </c>
      <c r="O479" s="46">
        <f t="shared" si="2469"/>
        <v>0</v>
      </c>
      <c r="P479" s="46">
        <f t="shared" si="2469"/>
        <v>0</v>
      </c>
      <c r="Q479" s="46">
        <f t="shared" si="2469"/>
        <v>218</v>
      </c>
      <c r="R479" s="46">
        <f t="shared" si="2469"/>
        <v>0</v>
      </c>
      <c r="S479" s="46">
        <f t="shared" si="2469"/>
        <v>0</v>
      </c>
      <c r="T479" s="46">
        <f t="shared" si="2469"/>
        <v>218</v>
      </c>
      <c r="U479" s="46">
        <f t="shared" si="2469"/>
        <v>0</v>
      </c>
      <c r="V479" s="46">
        <f t="shared" si="2469"/>
        <v>0</v>
      </c>
      <c r="W479" s="46">
        <f t="shared" si="2469"/>
        <v>1282</v>
      </c>
      <c r="X479" s="50">
        <f t="shared" ref="X479:Y479" si="2470">IF(O479&gt;0,O479/K479,0)</f>
        <v>0</v>
      </c>
      <c r="Y479" s="50">
        <f t="shared" si="2470"/>
        <v>0</v>
      </c>
      <c r="Z479" s="50">
        <f t="shared" si="2399"/>
        <v>0.14533333333333334</v>
      </c>
      <c r="AA479" s="46">
        <f t="shared" ref="AA479:BW479" si="2471">SUM(AA480)</f>
        <v>0</v>
      </c>
      <c r="AB479" s="46">
        <f t="shared" si="2471"/>
        <v>0</v>
      </c>
      <c r="AC479" s="46">
        <f t="shared" si="2471"/>
        <v>0</v>
      </c>
      <c r="AD479" s="46">
        <f t="shared" si="2471"/>
        <v>0</v>
      </c>
      <c r="AE479" s="46">
        <f t="shared" si="2471"/>
        <v>0</v>
      </c>
      <c r="AF479" s="46">
        <f t="shared" si="2471"/>
        <v>0</v>
      </c>
      <c r="AG479" s="46">
        <f t="shared" si="2471"/>
        <v>0</v>
      </c>
      <c r="AH479" s="46">
        <f t="shared" si="2471"/>
        <v>0</v>
      </c>
      <c r="AI479" s="46">
        <f t="shared" si="2471"/>
        <v>218</v>
      </c>
      <c r="AJ479" s="46">
        <f t="shared" si="2471"/>
        <v>0</v>
      </c>
      <c r="AK479" s="46">
        <f t="shared" si="2471"/>
        <v>0</v>
      </c>
      <c r="AL479" s="46">
        <f t="shared" si="2471"/>
        <v>0</v>
      </c>
      <c r="AM479" s="46">
        <f t="shared" si="2471"/>
        <v>0</v>
      </c>
      <c r="AN479" s="46">
        <f t="shared" si="2471"/>
        <v>0</v>
      </c>
      <c r="AO479" s="46">
        <f t="shared" si="2471"/>
        <v>0</v>
      </c>
      <c r="AP479" s="46">
        <f t="shared" si="2471"/>
        <v>0</v>
      </c>
      <c r="AQ479" s="46">
        <f t="shared" si="2471"/>
        <v>0</v>
      </c>
      <c r="AR479" s="46">
        <f t="shared" si="2471"/>
        <v>0</v>
      </c>
      <c r="AS479" s="46">
        <f t="shared" si="2471"/>
        <v>0</v>
      </c>
      <c r="AT479" s="46">
        <f t="shared" si="2471"/>
        <v>0</v>
      </c>
      <c r="AU479" s="46">
        <f t="shared" si="2471"/>
        <v>0</v>
      </c>
      <c r="AV479" s="46">
        <f t="shared" si="2471"/>
        <v>0</v>
      </c>
      <c r="AW479" s="46">
        <f t="shared" si="2471"/>
        <v>0</v>
      </c>
      <c r="AX479" s="46">
        <f t="shared" si="2471"/>
        <v>0</v>
      </c>
      <c r="AY479" s="46">
        <f t="shared" si="2471"/>
        <v>0</v>
      </c>
      <c r="AZ479" s="46">
        <f t="shared" si="2471"/>
        <v>0</v>
      </c>
      <c r="BA479" s="46">
        <f t="shared" si="2471"/>
        <v>0</v>
      </c>
      <c r="BB479" s="46">
        <f t="shared" si="2471"/>
        <v>0</v>
      </c>
      <c r="BC479" s="46">
        <f t="shared" si="2471"/>
        <v>0</v>
      </c>
      <c r="BD479" s="46">
        <f t="shared" si="2471"/>
        <v>0</v>
      </c>
      <c r="BE479" s="46">
        <f t="shared" si="2471"/>
        <v>0</v>
      </c>
      <c r="BF479" s="46">
        <f t="shared" si="2471"/>
        <v>0</v>
      </c>
      <c r="BG479" s="46">
        <f t="shared" si="2471"/>
        <v>0</v>
      </c>
      <c r="BH479" s="46">
        <f t="shared" si="2471"/>
        <v>0</v>
      </c>
      <c r="BI479" s="46">
        <f t="shared" si="2471"/>
        <v>0</v>
      </c>
      <c r="BJ479" s="46">
        <f t="shared" si="2471"/>
        <v>0</v>
      </c>
      <c r="BK479" s="46">
        <f t="shared" si="2471"/>
        <v>0</v>
      </c>
      <c r="BL479" s="46">
        <f t="shared" si="2471"/>
        <v>0</v>
      </c>
      <c r="BM479" s="46">
        <f t="shared" si="2471"/>
        <v>0</v>
      </c>
      <c r="BN479" s="46">
        <f t="shared" si="2471"/>
        <v>0</v>
      </c>
      <c r="BO479" s="46">
        <f t="shared" si="2471"/>
        <v>218</v>
      </c>
      <c r="BP479" s="46">
        <f t="shared" si="2471"/>
        <v>218</v>
      </c>
      <c r="BQ479" s="46">
        <f t="shared" si="2471"/>
        <v>0</v>
      </c>
      <c r="BR479" s="46">
        <f t="shared" si="2471"/>
        <v>1282</v>
      </c>
      <c r="BS479" s="46">
        <f t="shared" si="2471"/>
        <v>1282</v>
      </c>
      <c r="BT479" s="46">
        <f t="shared" si="2471"/>
        <v>0</v>
      </c>
      <c r="BU479" s="46">
        <f t="shared" si="2471"/>
        <v>218</v>
      </c>
      <c r="BV479" s="46">
        <f t="shared" si="2471"/>
        <v>1282</v>
      </c>
      <c r="BW479" s="46">
        <f t="shared" si="2471"/>
        <v>1500</v>
      </c>
      <c r="BX479" s="51"/>
      <c r="BY479" s="51"/>
      <c r="BZ479" s="51"/>
      <c r="CA479" s="51"/>
      <c r="CB479" s="51"/>
      <c r="CC479" s="51"/>
      <c r="CD479" s="51"/>
      <c r="CE479" s="51"/>
      <c r="CF479" s="51"/>
      <c r="CG479" s="51"/>
    </row>
    <row r="480" spans="1:85" ht="15.75" customHeight="1">
      <c r="A480" s="79" t="s">
        <v>619</v>
      </c>
      <c r="B480" s="69"/>
      <c r="C480" s="68" t="s">
        <v>77</v>
      </c>
      <c r="D480" s="70" t="s">
        <v>620</v>
      </c>
      <c r="E480" s="99">
        <v>0</v>
      </c>
      <c r="F480" s="99">
        <v>0</v>
      </c>
      <c r="G480" s="58">
        <f>E480-F480</f>
        <v>0</v>
      </c>
      <c r="H480" s="99">
        <v>0</v>
      </c>
      <c r="I480" s="59">
        <f t="shared" si="2394"/>
        <v>0</v>
      </c>
      <c r="J480" s="59">
        <f t="shared" si="2395"/>
        <v>0</v>
      </c>
      <c r="K480" s="74">
        <v>0</v>
      </c>
      <c r="L480" s="74">
        <v>0</v>
      </c>
      <c r="M480" s="74">
        <v>0</v>
      </c>
      <c r="N480" s="74">
        <v>1500</v>
      </c>
      <c r="O480" s="61">
        <f t="shared" ref="O480:Q480" si="2472">AA480+AD480+AG480+AJ480+AM480+AP480+AS480+AV480+AY480+BB480+BE480+BH480</f>
        <v>0</v>
      </c>
      <c r="P480" s="61">
        <f t="shared" si="2472"/>
        <v>0</v>
      </c>
      <c r="Q480" s="170">
        <f t="shared" si="2472"/>
        <v>218</v>
      </c>
      <c r="R480" s="61">
        <f t="shared" ref="R480:T480" si="2473">IF(BK480=0,SUM(AA480+AD480+AG480+AJ480+AM480+AP480+AS480+AV480+AY480+BB480+BE480+BH480),BK480)</f>
        <v>0</v>
      </c>
      <c r="S480" s="61">
        <f t="shared" si="2473"/>
        <v>0</v>
      </c>
      <c r="T480" s="61">
        <f t="shared" si="2473"/>
        <v>218</v>
      </c>
      <c r="U480" s="63">
        <f>K480-O480</f>
        <v>0</v>
      </c>
      <c r="V480" s="63">
        <f>L480-M480-S480</f>
        <v>0</v>
      </c>
      <c r="W480" s="62">
        <f>N480-Q480</f>
        <v>1282</v>
      </c>
      <c r="X480" s="64">
        <f t="shared" ref="X480:Y480" si="2474">IF(O480&gt;0,O480/K480,0)</f>
        <v>0</v>
      </c>
      <c r="Y480" s="64">
        <f t="shared" si="2474"/>
        <v>0</v>
      </c>
      <c r="Z480" s="64">
        <f t="shared" si="2399"/>
        <v>0.14533333333333334</v>
      </c>
      <c r="AA480" s="65"/>
      <c r="AB480" s="65"/>
      <c r="AC480" s="65"/>
      <c r="AD480" s="65"/>
      <c r="AE480" s="66"/>
      <c r="AF480" s="66"/>
      <c r="AG480" s="66"/>
      <c r="AH480" s="66"/>
      <c r="AI480" s="100">
        <v>218</v>
      </c>
      <c r="AJ480" s="65"/>
      <c r="AK480" s="65"/>
      <c r="AL480" s="65"/>
      <c r="AM480" s="65"/>
      <c r="AN480" s="65"/>
      <c r="AO480" s="65"/>
      <c r="AP480" s="65"/>
      <c r="AQ480" s="65"/>
      <c r="AR480" s="65"/>
      <c r="AS480" s="65"/>
      <c r="AT480" s="65"/>
      <c r="AU480" s="65"/>
      <c r="AV480" s="65"/>
      <c r="AW480" s="65"/>
      <c r="AX480" s="65"/>
      <c r="AY480" s="65"/>
      <c r="AZ480" s="65"/>
      <c r="BA480" s="65"/>
      <c r="BB480" s="65"/>
      <c r="BC480" s="65"/>
      <c r="BD480" s="65"/>
      <c r="BE480" s="65"/>
      <c r="BF480" s="65"/>
      <c r="BG480" s="65"/>
      <c r="BH480" s="65"/>
      <c r="BI480" s="65"/>
      <c r="BJ480" s="65"/>
      <c r="BK480" s="65">
        <v>0</v>
      </c>
      <c r="BL480" s="65">
        <v>0</v>
      </c>
      <c r="BM480" s="65">
        <v>0</v>
      </c>
      <c r="BN480" s="65">
        <f>IF(O480-BK480&gt;0,O480-BK480,0)</f>
        <v>0</v>
      </c>
      <c r="BO480" s="67">
        <f>IF(Q480-BM480&gt;0,Q480-BM480,0)</f>
        <v>218</v>
      </c>
      <c r="BP480" s="65">
        <f>IF(BN480+BO480&gt;0,BN480+BO480,0)</f>
        <v>218</v>
      </c>
      <c r="BQ480" s="65">
        <f>IF(U480=0,0,U480)</f>
        <v>0</v>
      </c>
      <c r="BR480" s="65">
        <f>IF(W480=0,0,W480)</f>
        <v>1282</v>
      </c>
      <c r="BS480" s="65">
        <f>IF(BQ480+BR480&gt;0,BQ480+BR480,0)</f>
        <v>1282</v>
      </c>
      <c r="BT480" s="65">
        <f>IF(V480&gt;0,V480,0)</f>
        <v>0</v>
      </c>
      <c r="BU480" s="65">
        <f>IF(BP480=0,0,BP480)</f>
        <v>218</v>
      </c>
      <c r="BV480" s="65">
        <f>IF(BS480=0,0,BS480)</f>
        <v>1282</v>
      </c>
      <c r="BW480" s="65">
        <f>IF(BP480+BT480+BV480&gt;0,BP480+BT480+BV480,0)</f>
        <v>1500</v>
      </c>
      <c r="BX480" s="6"/>
      <c r="BY480" s="6"/>
      <c r="BZ480" s="6"/>
      <c r="CA480" s="6"/>
      <c r="CB480" s="6"/>
      <c r="CC480" s="6"/>
      <c r="CD480" s="6"/>
      <c r="CE480" s="6"/>
      <c r="CF480" s="6"/>
      <c r="CG480" s="6"/>
    </row>
    <row r="481" spans="1:85" ht="15.75">
      <c r="A481" s="75"/>
      <c r="B481" s="76"/>
      <c r="C481" s="77"/>
      <c r="D481" s="78" t="s">
        <v>264</v>
      </c>
      <c r="E481" s="45">
        <f t="shared" ref="E481:H481" si="2475">SUM(E482:E484)</f>
        <v>0</v>
      </c>
      <c r="F481" s="45">
        <f t="shared" si="2475"/>
        <v>0</v>
      </c>
      <c r="G481" s="45">
        <f t="shared" si="2475"/>
        <v>0</v>
      </c>
      <c r="H481" s="45">
        <f t="shared" si="2475"/>
        <v>0</v>
      </c>
      <c r="I481" s="47">
        <f t="shared" si="2394"/>
        <v>0</v>
      </c>
      <c r="J481" s="47">
        <f t="shared" si="2395"/>
        <v>0</v>
      </c>
      <c r="K481" s="45">
        <f t="shared" ref="K481:W481" si="2476">SUM(K482:K484)</f>
        <v>0</v>
      </c>
      <c r="L481" s="45">
        <f t="shared" si="2476"/>
        <v>0</v>
      </c>
      <c r="M481" s="45">
        <f t="shared" si="2476"/>
        <v>0</v>
      </c>
      <c r="N481" s="45">
        <f t="shared" si="2476"/>
        <v>0</v>
      </c>
      <c r="O481" s="45">
        <f t="shared" si="2476"/>
        <v>0</v>
      </c>
      <c r="P481" s="45">
        <f t="shared" si="2476"/>
        <v>0</v>
      </c>
      <c r="Q481" s="45">
        <f t="shared" si="2476"/>
        <v>0</v>
      </c>
      <c r="R481" s="45">
        <f t="shared" si="2476"/>
        <v>0</v>
      </c>
      <c r="S481" s="45">
        <f t="shared" si="2476"/>
        <v>0</v>
      </c>
      <c r="T481" s="45">
        <f t="shared" si="2476"/>
        <v>0</v>
      </c>
      <c r="U481" s="45">
        <f t="shared" si="2476"/>
        <v>0</v>
      </c>
      <c r="V481" s="45">
        <f t="shared" si="2476"/>
        <v>0</v>
      </c>
      <c r="W481" s="45">
        <f t="shared" si="2476"/>
        <v>0</v>
      </c>
      <c r="X481" s="50">
        <f t="shared" ref="X481:Y481" si="2477">IF(O481&gt;0,O481/K481,0)</f>
        <v>0</v>
      </c>
      <c r="Y481" s="50">
        <f t="shared" si="2477"/>
        <v>0</v>
      </c>
      <c r="Z481" s="50">
        <f t="shared" si="2399"/>
        <v>0</v>
      </c>
      <c r="AA481" s="45">
        <f t="shared" ref="AA481:BW481" si="2478">SUM(AA482:AA484)</f>
        <v>0</v>
      </c>
      <c r="AB481" s="45">
        <f t="shared" si="2478"/>
        <v>0</v>
      </c>
      <c r="AC481" s="45">
        <f t="shared" si="2478"/>
        <v>0</v>
      </c>
      <c r="AD481" s="45">
        <f t="shared" si="2478"/>
        <v>0</v>
      </c>
      <c r="AE481" s="45">
        <f t="shared" si="2478"/>
        <v>0</v>
      </c>
      <c r="AF481" s="45">
        <f t="shared" si="2478"/>
        <v>0</v>
      </c>
      <c r="AG481" s="45">
        <f t="shared" si="2478"/>
        <v>0</v>
      </c>
      <c r="AH481" s="45">
        <f t="shared" si="2478"/>
        <v>0</v>
      </c>
      <c r="AI481" s="45">
        <f t="shared" si="2478"/>
        <v>0</v>
      </c>
      <c r="AJ481" s="45">
        <f t="shared" si="2478"/>
        <v>0</v>
      </c>
      <c r="AK481" s="45">
        <f t="shared" si="2478"/>
        <v>0</v>
      </c>
      <c r="AL481" s="45">
        <f t="shared" si="2478"/>
        <v>0</v>
      </c>
      <c r="AM481" s="45">
        <f t="shared" si="2478"/>
        <v>0</v>
      </c>
      <c r="AN481" s="45">
        <f t="shared" si="2478"/>
        <v>0</v>
      </c>
      <c r="AO481" s="45">
        <f t="shared" si="2478"/>
        <v>0</v>
      </c>
      <c r="AP481" s="45">
        <f t="shared" si="2478"/>
        <v>0</v>
      </c>
      <c r="AQ481" s="45">
        <f t="shared" si="2478"/>
        <v>0</v>
      </c>
      <c r="AR481" s="45">
        <f t="shared" si="2478"/>
        <v>0</v>
      </c>
      <c r="AS481" s="45">
        <f t="shared" si="2478"/>
        <v>0</v>
      </c>
      <c r="AT481" s="45">
        <f t="shared" si="2478"/>
        <v>0</v>
      </c>
      <c r="AU481" s="45">
        <f t="shared" si="2478"/>
        <v>0</v>
      </c>
      <c r="AV481" s="45">
        <f t="shared" si="2478"/>
        <v>0</v>
      </c>
      <c r="AW481" s="45">
        <f t="shared" si="2478"/>
        <v>0</v>
      </c>
      <c r="AX481" s="45">
        <f t="shared" si="2478"/>
        <v>0</v>
      </c>
      <c r="AY481" s="45">
        <f t="shared" si="2478"/>
        <v>0</v>
      </c>
      <c r="AZ481" s="45">
        <f t="shared" si="2478"/>
        <v>0</v>
      </c>
      <c r="BA481" s="45">
        <f t="shared" si="2478"/>
        <v>0</v>
      </c>
      <c r="BB481" s="45">
        <f t="shared" si="2478"/>
        <v>0</v>
      </c>
      <c r="BC481" s="45">
        <f t="shared" si="2478"/>
        <v>0</v>
      </c>
      <c r="BD481" s="45">
        <f t="shared" si="2478"/>
        <v>0</v>
      </c>
      <c r="BE481" s="45">
        <f t="shared" si="2478"/>
        <v>0</v>
      </c>
      <c r="BF481" s="45">
        <f t="shared" si="2478"/>
        <v>0</v>
      </c>
      <c r="BG481" s="45">
        <f t="shared" si="2478"/>
        <v>0</v>
      </c>
      <c r="BH481" s="45">
        <f t="shared" si="2478"/>
        <v>0</v>
      </c>
      <c r="BI481" s="45">
        <f t="shared" si="2478"/>
        <v>0</v>
      </c>
      <c r="BJ481" s="45">
        <f t="shared" si="2478"/>
        <v>0</v>
      </c>
      <c r="BK481" s="45">
        <f t="shared" si="2478"/>
        <v>0</v>
      </c>
      <c r="BL481" s="45">
        <f t="shared" si="2478"/>
        <v>0</v>
      </c>
      <c r="BM481" s="45">
        <f t="shared" si="2478"/>
        <v>0</v>
      </c>
      <c r="BN481" s="45">
        <f t="shared" si="2478"/>
        <v>0</v>
      </c>
      <c r="BO481" s="45">
        <f t="shared" si="2478"/>
        <v>0</v>
      </c>
      <c r="BP481" s="45">
        <f t="shared" si="2478"/>
        <v>0</v>
      </c>
      <c r="BQ481" s="45">
        <f t="shared" si="2478"/>
        <v>0</v>
      </c>
      <c r="BR481" s="45">
        <f t="shared" si="2478"/>
        <v>0</v>
      </c>
      <c r="BS481" s="45">
        <f t="shared" si="2478"/>
        <v>0</v>
      </c>
      <c r="BT481" s="45">
        <f t="shared" si="2478"/>
        <v>0</v>
      </c>
      <c r="BU481" s="45">
        <f t="shared" si="2478"/>
        <v>0</v>
      </c>
      <c r="BV481" s="45">
        <f t="shared" si="2478"/>
        <v>0</v>
      </c>
      <c r="BW481" s="45">
        <f t="shared" si="2478"/>
        <v>0</v>
      </c>
      <c r="BX481" s="51"/>
      <c r="BY481" s="51"/>
      <c r="BZ481" s="51"/>
      <c r="CA481" s="51"/>
      <c r="CB481" s="51"/>
      <c r="CC481" s="51"/>
      <c r="CD481" s="51"/>
      <c r="CE481" s="51"/>
      <c r="CF481" s="51"/>
      <c r="CG481" s="51"/>
    </row>
    <row r="482" spans="1:85" ht="15.75" customHeight="1">
      <c r="A482" s="68"/>
      <c r="B482" s="103"/>
      <c r="C482" s="176" t="s">
        <v>267</v>
      </c>
      <c r="D482" s="171" t="s">
        <v>621</v>
      </c>
      <c r="E482" s="99">
        <v>0</v>
      </c>
      <c r="F482" s="99">
        <v>0</v>
      </c>
      <c r="G482" s="58">
        <f t="shared" ref="G482:G484" si="2479">E482-F482</f>
        <v>0</v>
      </c>
      <c r="H482" s="99">
        <v>0</v>
      </c>
      <c r="I482" s="59">
        <f t="shared" si="2394"/>
        <v>0</v>
      </c>
      <c r="J482" s="59">
        <f t="shared" si="2395"/>
        <v>0</v>
      </c>
      <c r="K482" s="74">
        <v>0</v>
      </c>
      <c r="L482" s="74">
        <v>0</v>
      </c>
      <c r="M482" s="74">
        <v>0</v>
      </c>
      <c r="N482" s="74">
        <v>0</v>
      </c>
      <c r="O482" s="61">
        <f t="shared" ref="O482:Q482" si="2480">AA482+AD482+AG482+AJ482+AM482+AP482+AS482+AV482+AY482+BB482+BE482+BH482</f>
        <v>0</v>
      </c>
      <c r="P482" s="61">
        <f t="shared" si="2480"/>
        <v>0</v>
      </c>
      <c r="Q482" s="61">
        <f t="shared" si="2480"/>
        <v>0</v>
      </c>
      <c r="R482" s="61">
        <f t="shared" ref="R482:T482" si="2481">IF(BK482=0,SUM(AA482+AD482+AG482+AJ482+AM482+AP482+AS482+AV482+AY482+BB482+BE482+BH482),BK482)</f>
        <v>0</v>
      </c>
      <c r="S482" s="61">
        <f t="shared" si="2481"/>
        <v>0</v>
      </c>
      <c r="T482" s="61">
        <f t="shared" si="2481"/>
        <v>0</v>
      </c>
      <c r="U482" s="63">
        <f t="shared" ref="U482:U484" si="2482">K482-O482</f>
        <v>0</v>
      </c>
      <c r="V482" s="63">
        <f t="shared" ref="V482:V484" si="2483">L482-M482-S482</f>
        <v>0</v>
      </c>
      <c r="W482" s="63">
        <f t="shared" ref="W482:W484" si="2484">N482-Q482</f>
        <v>0</v>
      </c>
      <c r="X482" s="64">
        <f t="shared" ref="X482:Y482" si="2485">IF(O482&gt;0,O482/K482,0)</f>
        <v>0</v>
      </c>
      <c r="Y482" s="64">
        <f t="shared" si="2485"/>
        <v>0</v>
      </c>
      <c r="Z482" s="64">
        <f t="shared" si="2399"/>
        <v>0</v>
      </c>
      <c r="AA482" s="65"/>
      <c r="AB482" s="65"/>
      <c r="AC482" s="65"/>
      <c r="AD482" s="65"/>
      <c r="AE482" s="66"/>
      <c r="AF482" s="66"/>
      <c r="AG482" s="66"/>
      <c r="AH482" s="66"/>
      <c r="AI482" s="65"/>
      <c r="AJ482" s="65"/>
      <c r="AK482" s="65"/>
      <c r="AL482" s="65"/>
      <c r="AM482" s="65"/>
      <c r="AN482" s="65"/>
      <c r="AO482" s="65"/>
      <c r="AP482" s="65"/>
      <c r="AQ482" s="65"/>
      <c r="AR482" s="65"/>
      <c r="AS482" s="65"/>
      <c r="AT482" s="65"/>
      <c r="AU482" s="65"/>
      <c r="AV482" s="65"/>
      <c r="AW482" s="65"/>
      <c r="AX482" s="65"/>
      <c r="AY482" s="65"/>
      <c r="AZ482" s="65"/>
      <c r="BA482" s="65"/>
      <c r="BB482" s="65"/>
      <c r="BC482" s="65"/>
      <c r="BD482" s="65"/>
      <c r="BE482" s="65"/>
      <c r="BF482" s="65"/>
      <c r="BG482" s="65"/>
      <c r="BH482" s="65"/>
      <c r="BI482" s="65"/>
      <c r="BJ482" s="65"/>
      <c r="BK482" s="65">
        <v>0</v>
      </c>
      <c r="BL482" s="65">
        <v>0</v>
      </c>
      <c r="BM482" s="65">
        <v>0</v>
      </c>
      <c r="BN482" s="65">
        <f t="shared" ref="BN482:BN484" si="2486">IF(O482-BK482&gt;0,O482-BK482,0)</f>
        <v>0</v>
      </c>
      <c r="BO482" s="67">
        <f t="shared" ref="BO482:BO484" si="2487">IF(Q482-BM482&gt;0,Q482-BM482,0)</f>
        <v>0</v>
      </c>
      <c r="BP482" s="65">
        <f t="shared" ref="BP482:BP484" si="2488">IF(BN482+BO482&gt;0,BN482+BO482,0)</f>
        <v>0</v>
      </c>
      <c r="BQ482" s="65">
        <f t="shared" ref="BQ482:BQ484" si="2489">IF(U482=0,0,U482)</f>
        <v>0</v>
      </c>
      <c r="BR482" s="65">
        <f t="shared" ref="BR482:BR484" si="2490">IF(W482=0,0,W482)</f>
        <v>0</v>
      </c>
      <c r="BS482" s="65">
        <f t="shared" ref="BS482:BS484" si="2491">IF(BQ482+BR482&gt;0,BQ482+BR482,0)</f>
        <v>0</v>
      </c>
      <c r="BT482" s="65">
        <f t="shared" ref="BT482:BT484" si="2492">IF(V482&gt;0,V482,0)</f>
        <v>0</v>
      </c>
      <c r="BU482" s="65">
        <f t="shared" ref="BU482:BU484" si="2493">IF(BP482=0,0,BP482)</f>
        <v>0</v>
      </c>
      <c r="BV482" s="65">
        <f t="shared" ref="BV482:BV484" si="2494">IF(BS482=0,0,BS482)</f>
        <v>0</v>
      </c>
      <c r="BW482" s="65">
        <f t="shared" ref="BW482:BW484" si="2495">IF(BP482+BT482+BV482&gt;0,BP482+BT482+BV482,0)</f>
        <v>0</v>
      </c>
      <c r="BX482" s="6"/>
      <c r="BY482" s="6"/>
      <c r="BZ482" s="6"/>
      <c r="CA482" s="6"/>
      <c r="CB482" s="6"/>
      <c r="CC482" s="6"/>
      <c r="CD482" s="6"/>
      <c r="CE482" s="6"/>
      <c r="CF482" s="6"/>
      <c r="CG482" s="6"/>
    </row>
    <row r="483" spans="1:85" ht="15.75" customHeight="1">
      <c r="A483" s="68"/>
      <c r="B483" s="103"/>
      <c r="C483" s="176" t="s">
        <v>267</v>
      </c>
      <c r="D483" s="171" t="s">
        <v>622</v>
      </c>
      <c r="E483" s="99">
        <v>0</v>
      </c>
      <c r="F483" s="99">
        <v>0</v>
      </c>
      <c r="G483" s="58">
        <f t="shared" si="2479"/>
        <v>0</v>
      </c>
      <c r="H483" s="99">
        <v>0</v>
      </c>
      <c r="I483" s="59">
        <f t="shared" si="2394"/>
        <v>0</v>
      </c>
      <c r="J483" s="59">
        <f t="shared" si="2395"/>
        <v>0</v>
      </c>
      <c r="K483" s="74">
        <v>0</v>
      </c>
      <c r="L483" s="74">
        <v>0</v>
      </c>
      <c r="M483" s="74">
        <v>0</v>
      </c>
      <c r="N483" s="74">
        <v>0</v>
      </c>
      <c r="O483" s="61">
        <f t="shared" ref="O483:Q483" si="2496">AA483+AD483+AG483+AJ483+AM483+AP483+AS483+AV483+AY483+BB483+BE483+BH483</f>
        <v>0</v>
      </c>
      <c r="P483" s="61">
        <f t="shared" si="2496"/>
        <v>0</v>
      </c>
      <c r="Q483" s="61">
        <f t="shared" si="2496"/>
        <v>0</v>
      </c>
      <c r="R483" s="61">
        <f t="shared" ref="R483:T483" si="2497">IF(BK483=0,SUM(AA483+AD483+AG483+AJ483+AM483+AP483+AS483+AV483+AY483+BB483+BE483+BH483),BK483)</f>
        <v>0</v>
      </c>
      <c r="S483" s="61">
        <f t="shared" si="2497"/>
        <v>0</v>
      </c>
      <c r="T483" s="61">
        <f t="shared" si="2497"/>
        <v>0</v>
      </c>
      <c r="U483" s="63">
        <f t="shared" si="2482"/>
        <v>0</v>
      </c>
      <c r="V483" s="63">
        <f t="shared" si="2483"/>
        <v>0</v>
      </c>
      <c r="W483" s="63">
        <f t="shared" si="2484"/>
        <v>0</v>
      </c>
      <c r="X483" s="64">
        <f t="shared" ref="X483:Y483" si="2498">IF(O483&gt;0,O483/K483,0)</f>
        <v>0</v>
      </c>
      <c r="Y483" s="64">
        <f t="shared" si="2498"/>
        <v>0</v>
      </c>
      <c r="Z483" s="64">
        <f t="shared" si="2399"/>
        <v>0</v>
      </c>
      <c r="AA483" s="65"/>
      <c r="AB483" s="65"/>
      <c r="AC483" s="65"/>
      <c r="AD483" s="65"/>
      <c r="AE483" s="66"/>
      <c r="AF483" s="66"/>
      <c r="AG483" s="66"/>
      <c r="AH483" s="66"/>
      <c r="AI483" s="65"/>
      <c r="AJ483" s="65"/>
      <c r="AK483" s="65"/>
      <c r="AL483" s="65"/>
      <c r="AM483" s="65"/>
      <c r="AN483" s="65"/>
      <c r="AO483" s="65"/>
      <c r="AP483" s="65"/>
      <c r="AQ483" s="65"/>
      <c r="AR483" s="65"/>
      <c r="AS483" s="65"/>
      <c r="AT483" s="65"/>
      <c r="AU483" s="65"/>
      <c r="AV483" s="65"/>
      <c r="AW483" s="65"/>
      <c r="AX483" s="65"/>
      <c r="AY483" s="65"/>
      <c r="AZ483" s="65"/>
      <c r="BA483" s="65"/>
      <c r="BB483" s="65"/>
      <c r="BC483" s="65"/>
      <c r="BD483" s="65"/>
      <c r="BE483" s="65"/>
      <c r="BF483" s="65"/>
      <c r="BG483" s="65"/>
      <c r="BH483" s="65"/>
      <c r="BI483" s="65"/>
      <c r="BJ483" s="65"/>
      <c r="BK483" s="65">
        <v>0</v>
      </c>
      <c r="BL483" s="65">
        <v>0</v>
      </c>
      <c r="BM483" s="65">
        <v>0</v>
      </c>
      <c r="BN483" s="65">
        <f t="shared" si="2486"/>
        <v>0</v>
      </c>
      <c r="BO483" s="67">
        <f t="shared" si="2487"/>
        <v>0</v>
      </c>
      <c r="BP483" s="65">
        <f t="shared" si="2488"/>
        <v>0</v>
      </c>
      <c r="BQ483" s="65">
        <f t="shared" si="2489"/>
        <v>0</v>
      </c>
      <c r="BR483" s="65">
        <f t="shared" si="2490"/>
        <v>0</v>
      </c>
      <c r="BS483" s="65">
        <f t="shared" si="2491"/>
        <v>0</v>
      </c>
      <c r="BT483" s="65">
        <f t="shared" si="2492"/>
        <v>0</v>
      </c>
      <c r="BU483" s="65">
        <f t="shared" si="2493"/>
        <v>0</v>
      </c>
      <c r="BV483" s="65">
        <f t="shared" si="2494"/>
        <v>0</v>
      </c>
      <c r="BW483" s="65">
        <f t="shared" si="2495"/>
        <v>0</v>
      </c>
      <c r="BX483" s="6"/>
      <c r="BY483" s="6"/>
      <c r="BZ483" s="6"/>
      <c r="CA483" s="6"/>
      <c r="CB483" s="6"/>
      <c r="CC483" s="6"/>
      <c r="CD483" s="6"/>
      <c r="CE483" s="6"/>
      <c r="CF483" s="6"/>
      <c r="CG483" s="6"/>
    </row>
    <row r="484" spans="1:85" ht="15.75" customHeight="1">
      <c r="A484" s="71"/>
      <c r="B484" s="72"/>
      <c r="C484" s="203" t="s">
        <v>267</v>
      </c>
      <c r="D484" s="356" t="s">
        <v>622</v>
      </c>
      <c r="E484" s="99">
        <v>0</v>
      </c>
      <c r="F484" s="99">
        <v>0</v>
      </c>
      <c r="G484" s="58">
        <f t="shared" si="2479"/>
        <v>0</v>
      </c>
      <c r="H484" s="99">
        <v>0</v>
      </c>
      <c r="I484" s="59">
        <f t="shared" si="2394"/>
        <v>0</v>
      </c>
      <c r="J484" s="59">
        <f t="shared" si="2395"/>
        <v>0</v>
      </c>
      <c r="K484" s="74">
        <v>0</v>
      </c>
      <c r="L484" s="74">
        <v>0</v>
      </c>
      <c r="M484" s="74">
        <v>0</v>
      </c>
      <c r="N484" s="74">
        <v>0</v>
      </c>
      <c r="O484" s="61">
        <f t="shared" ref="O484:Q484" si="2499">AA484+AD484+AG484+AJ484+AM484+AP484+AS484+AV484+AY484+BB484+BE484+BH484</f>
        <v>0</v>
      </c>
      <c r="P484" s="61">
        <f t="shared" si="2499"/>
        <v>0</v>
      </c>
      <c r="Q484" s="61">
        <f t="shared" si="2499"/>
        <v>0</v>
      </c>
      <c r="R484" s="61">
        <f t="shared" ref="R484:T484" si="2500">IF(BK484=0,SUM(AA484+AD484+AG484+AJ484+AM484+AP484+AS484+AV484+AY484+BB484+BE484+BH484),BK484)</f>
        <v>0</v>
      </c>
      <c r="S484" s="61">
        <f t="shared" si="2500"/>
        <v>0</v>
      </c>
      <c r="T484" s="61">
        <f t="shared" si="2500"/>
        <v>0</v>
      </c>
      <c r="U484" s="63">
        <f t="shared" si="2482"/>
        <v>0</v>
      </c>
      <c r="V484" s="63">
        <f t="shared" si="2483"/>
        <v>0</v>
      </c>
      <c r="W484" s="63">
        <f t="shared" si="2484"/>
        <v>0</v>
      </c>
      <c r="X484" s="64">
        <f t="shared" ref="X484:Y484" si="2501">IF(O484&gt;0,O484/K484,0)</f>
        <v>0</v>
      </c>
      <c r="Y484" s="64">
        <f t="shared" si="2501"/>
        <v>0</v>
      </c>
      <c r="Z484" s="64">
        <f t="shared" si="2399"/>
        <v>0</v>
      </c>
      <c r="AA484" s="65"/>
      <c r="AB484" s="65"/>
      <c r="AC484" s="65"/>
      <c r="AD484" s="65"/>
      <c r="AE484" s="66"/>
      <c r="AF484" s="66"/>
      <c r="AG484" s="66"/>
      <c r="AH484" s="66"/>
      <c r="AI484" s="65"/>
      <c r="AJ484" s="65"/>
      <c r="AK484" s="65"/>
      <c r="AL484" s="65"/>
      <c r="AM484" s="65"/>
      <c r="AN484" s="65"/>
      <c r="AO484" s="65"/>
      <c r="AP484" s="65"/>
      <c r="AQ484" s="65"/>
      <c r="AR484" s="65"/>
      <c r="AS484" s="65"/>
      <c r="AT484" s="65"/>
      <c r="AU484" s="65"/>
      <c r="AV484" s="65"/>
      <c r="AW484" s="65"/>
      <c r="AX484" s="65"/>
      <c r="AY484" s="65"/>
      <c r="AZ484" s="65"/>
      <c r="BA484" s="65"/>
      <c r="BB484" s="65"/>
      <c r="BC484" s="65"/>
      <c r="BD484" s="65"/>
      <c r="BE484" s="65"/>
      <c r="BF484" s="65"/>
      <c r="BG484" s="65"/>
      <c r="BH484" s="65"/>
      <c r="BI484" s="65"/>
      <c r="BJ484" s="65"/>
      <c r="BK484" s="65">
        <v>0</v>
      </c>
      <c r="BL484" s="65">
        <v>0</v>
      </c>
      <c r="BM484" s="65">
        <v>0</v>
      </c>
      <c r="BN484" s="65">
        <f t="shared" si="2486"/>
        <v>0</v>
      </c>
      <c r="BO484" s="67">
        <f t="shared" si="2487"/>
        <v>0</v>
      </c>
      <c r="BP484" s="65">
        <f t="shared" si="2488"/>
        <v>0</v>
      </c>
      <c r="BQ484" s="65">
        <f t="shared" si="2489"/>
        <v>0</v>
      </c>
      <c r="BR484" s="65">
        <f t="shared" si="2490"/>
        <v>0</v>
      </c>
      <c r="BS484" s="65">
        <f t="shared" si="2491"/>
        <v>0</v>
      </c>
      <c r="BT484" s="65">
        <f t="shared" si="2492"/>
        <v>0</v>
      </c>
      <c r="BU484" s="65">
        <f t="shared" si="2493"/>
        <v>0</v>
      </c>
      <c r="BV484" s="65">
        <f t="shared" si="2494"/>
        <v>0</v>
      </c>
      <c r="BW484" s="65">
        <f t="shared" si="2495"/>
        <v>0</v>
      </c>
      <c r="BX484" s="6"/>
      <c r="BY484" s="6"/>
      <c r="BZ484" s="6"/>
      <c r="CA484" s="6"/>
      <c r="CB484" s="6"/>
      <c r="CC484" s="6"/>
      <c r="CD484" s="6"/>
      <c r="CE484" s="6"/>
      <c r="CF484" s="6"/>
      <c r="CG484" s="6"/>
    </row>
    <row r="485" spans="1:85" ht="15.75" customHeight="1">
      <c r="A485" s="325"/>
      <c r="B485" s="326"/>
      <c r="C485" s="327"/>
      <c r="D485" s="357" t="s">
        <v>623</v>
      </c>
      <c r="E485" s="329">
        <f t="shared" ref="E485:H485" si="2502">E486</f>
        <v>0</v>
      </c>
      <c r="F485" s="344">
        <f t="shared" si="2502"/>
        <v>0</v>
      </c>
      <c r="G485" s="344">
        <f t="shared" si="2502"/>
        <v>0</v>
      </c>
      <c r="H485" s="344">
        <f t="shared" si="2502"/>
        <v>96670</v>
      </c>
      <c r="I485" s="330">
        <f t="shared" si="2394"/>
        <v>0</v>
      </c>
      <c r="J485" s="330">
        <f t="shared" si="2395"/>
        <v>0</v>
      </c>
      <c r="K485" s="344">
        <f t="shared" ref="K485:W485" si="2503">K486</f>
        <v>0</v>
      </c>
      <c r="L485" s="344">
        <f t="shared" si="2503"/>
        <v>1667.83</v>
      </c>
      <c r="M485" s="344">
        <f t="shared" si="2503"/>
        <v>0</v>
      </c>
      <c r="N485" s="344">
        <f t="shared" si="2503"/>
        <v>92404</v>
      </c>
      <c r="O485" s="344">
        <f t="shared" si="2503"/>
        <v>0</v>
      </c>
      <c r="P485" s="344">
        <f t="shared" si="2503"/>
        <v>1667.83</v>
      </c>
      <c r="Q485" s="344">
        <f t="shared" si="2503"/>
        <v>21320.47</v>
      </c>
      <c r="R485" s="344">
        <f t="shared" si="2503"/>
        <v>0</v>
      </c>
      <c r="S485" s="344">
        <f t="shared" si="2503"/>
        <v>1667.83</v>
      </c>
      <c r="T485" s="344">
        <f t="shared" si="2503"/>
        <v>21320.47</v>
      </c>
      <c r="U485" s="344">
        <f t="shared" si="2503"/>
        <v>0</v>
      </c>
      <c r="V485" s="344">
        <f t="shared" si="2503"/>
        <v>0</v>
      </c>
      <c r="W485" s="344">
        <f t="shared" si="2503"/>
        <v>71083.53</v>
      </c>
      <c r="X485" s="339">
        <f t="shared" ref="X485:Y485" si="2504">IF(O485&gt;0,O485/K485,0)</f>
        <v>0</v>
      </c>
      <c r="Y485" s="339">
        <f t="shared" si="2504"/>
        <v>1</v>
      </c>
      <c r="Z485" s="339">
        <f t="shared" si="2399"/>
        <v>0.23073102895978531</v>
      </c>
      <c r="AA485" s="344">
        <f t="shared" ref="AA485:BW485" si="2505">AA486</f>
        <v>0</v>
      </c>
      <c r="AB485" s="344">
        <f t="shared" si="2505"/>
        <v>0</v>
      </c>
      <c r="AC485" s="344">
        <f t="shared" si="2505"/>
        <v>0</v>
      </c>
      <c r="AD485" s="344">
        <f t="shared" si="2505"/>
        <v>0</v>
      </c>
      <c r="AE485" s="344">
        <f t="shared" si="2505"/>
        <v>1081.05</v>
      </c>
      <c r="AF485" s="344">
        <f t="shared" si="2505"/>
        <v>0</v>
      </c>
      <c r="AG485" s="344">
        <f t="shared" si="2505"/>
        <v>0</v>
      </c>
      <c r="AH485" s="344">
        <f t="shared" si="2505"/>
        <v>586.78</v>
      </c>
      <c r="AI485" s="344">
        <f t="shared" si="2505"/>
        <v>953.88</v>
      </c>
      <c r="AJ485" s="344">
        <f t="shared" si="2505"/>
        <v>0</v>
      </c>
      <c r="AK485" s="344">
        <f t="shared" si="2505"/>
        <v>0</v>
      </c>
      <c r="AL485" s="344">
        <f t="shared" si="2505"/>
        <v>5887.09</v>
      </c>
      <c r="AM485" s="344">
        <f t="shared" si="2505"/>
        <v>0</v>
      </c>
      <c r="AN485" s="344">
        <f t="shared" si="2505"/>
        <v>0</v>
      </c>
      <c r="AO485" s="344">
        <f t="shared" si="2505"/>
        <v>7219.6</v>
      </c>
      <c r="AP485" s="344">
        <f t="shared" si="2505"/>
        <v>0</v>
      </c>
      <c r="AQ485" s="344">
        <f t="shared" si="2505"/>
        <v>0</v>
      </c>
      <c r="AR485" s="344">
        <f t="shared" si="2505"/>
        <v>7259.9</v>
      </c>
      <c r="AS485" s="344">
        <f t="shared" si="2505"/>
        <v>0</v>
      </c>
      <c r="AT485" s="344">
        <f t="shared" si="2505"/>
        <v>0</v>
      </c>
      <c r="AU485" s="344">
        <f t="shared" si="2505"/>
        <v>0</v>
      </c>
      <c r="AV485" s="344">
        <f t="shared" si="2505"/>
        <v>0</v>
      </c>
      <c r="AW485" s="344">
        <f t="shared" si="2505"/>
        <v>0</v>
      </c>
      <c r="AX485" s="344">
        <f t="shared" si="2505"/>
        <v>0</v>
      </c>
      <c r="AY485" s="344">
        <f t="shared" si="2505"/>
        <v>0</v>
      </c>
      <c r="AZ485" s="344">
        <f t="shared" si="2505"/>
        <v>0</v>
      </c>
      <c r="BA485" s="344">
        <f t="shared" si="2505"/>
        <v>0</v>
      </c>
      <c r="BB485" s="344">
        <f t="shared" si="2505"/>
        <v>0</v>
      </c>
      <c r="BC485" s="344">
        <f t="shared" si="2505"/>
        <v>0</v>
      </c>
      <c r="BD485" s="344">
        <f t="shared" si="2505"/>
        <v>0</v>
      </c>
      <c r="BE485" s="344">
        <f t="shared" si="2505"/>
        <v>0</v>
      </c>
      <c r="BF485" s="344">
        <f t="shared" si="2505"/>
        <v>0</v>
      </c>
      <c r="BG485" s="344">
        <f t="shared" si="2505"/>
        <v>0</v>
      </c>
      <c r="BH485" s="344">
        <f t="shared" si="2505"/>
        <v>0</v>
      </c>
      <c r="BI485" s="344">
        <f t="shared" si="2505"/>
        <v>0</v>
      </c>
      <c r="BJ485" s="344">
        <f t="shared" si="2505"/>
        <v>0</v>
      </c>
      <c r="BK485" s="344">
        <f t="shared" si="2505"/>
        <v>0</v>
      </c>
      <c r="BL485" s="344">
        <f t="shared" si="2505"/>
        <v>0</v>
      </c>
      <c r="BM485" s="344">
        <f t="shared" si="2505"/>
        <v>0</v>
      </c>
      <c r="BN485" s="344">
        <f t="shared" si="2505"/>
        <v>0</v>
      </c>
      <c r="BO485" s="344">
        <f t="shared" si="2505"/>
        <v>12279.18</v>
      </c>
      <c r="BP485" s="344">
        <f t="shared" si="2505"/>
        <v>12279.18</v>
      </c>
      <c r="BQ485" s="344">
        <f t="shared" si="2505"/>
        <v>0</v>
      </c>
      <c r="BR485" s="344">
        <f t="shared" si="2505"/>
        <v>27324.82</v>
      </c>
      <c r="BS485" s="344">
        <f t="shared" si="2505"/>
        <v>27324.82</v>
      </c>
      <c r="BT485" s="344">
        <f t="shared" si="2505"/>
        <v>0</v>
      </c>
      <c r="BU485" s="344">
        <f t="shared" si="2505"/>
        <v>12279.18</v>
      </c>
      <c r="BV485" s="344">
        <f t="shared" si="2505"/>
        <v>27324.82</v>
      </c>
      <c r="BW485" s="344">
        <f t="shared" si="2505"/>
        <v>39604</v>
      </c>
      <c r="BX485" s="6"/>
      <c r="BY485" s="6"/>
      <c r="BZ485" s="6"/>
      <c r="CA485" s="6"/>
      <c r="CB485" s="6"/>
      <c r="CC485" s="6"/>
      <c r="CD485" s="6"/>
      <c r="CE485" s="6"/>
      <c r="CF485" s="6"/>
      <c r="CG485" s="6"/>
    </row>
    <row r="486" spans="1:85" ht="15.75" customHeight="1">
      <c r="A486" s="260"/>
      <c r="B486" s="261"/>
      <c r="C486" s="262"/>
      <c r="D486" s="78" t="s">
        <v>137</v>
      </c>
      <c r="E486" s="45">
        <f t="shared" ref="E486:H486" si="2506">E487+E488</f>
        <v>0</v>
      </c>
      <c r="F486" s="45">
        <f t="shared" si="2506"/>
        <v>0</v>
      </c>
      <c r="G486" s="45">
        <f t="shared" si="2506"/>
        <v>0</v>
      </c>
      <c r="H486" s="45">
        <f t="shared" si="2506"/>
        <v>96670</v>
      </c>
      <c r="I486" s="47">
        <f t="shared" si="2394"/>
        <v>0</v>
      </c>
      <c r="J486" s="47">
        <f t="shared" si="2395"/>
        <v>0</v>
      </c>
      <c r="K486" s="45">
        <f t="shared" ref="K486:W486" si="2507">K487+K488</f>
        <v>0</v>
      </c>
      <c r="L486" s="45">
        <f t="shared" si="2507"/>
        <v>1667.83</v>
      </c>
      <c r="M486" s="45">
        <f t="shared" si="2507"/>
        <v>0</v>
      </c>
      <c r="N486" s="45">
        <f t="shared" si="2507"/>
        <v>92404</v>
      </c>
      <c r="O486" s="45">
        <f t="shared" si="2507"/>
        <v>0</v>
      </c>
      <c r="P486" s="45">
        <f t="shared" si="2507"/>
        <v>1667.83</v>
      </c>
      <c r="Q486" s="45">
        <f t="shared" si="2507"/>
        <v>21320.47</v>
      </c>
      <c r="R486" s="45">
        <f t="shared" si="2507"/>
        <v>0</v>
      </c>
      <c r="S486" s="45">
        <f t="shared" si="2507"/>
        <v>1667.83</v>
      </c>
      <c r="T486" s="45">
        <f t="shared" si="2507"/>
        <v>21320.47</v>
      </c>
      <c r="U486" s="45">
        <f t="shared" si="2507"/>
        <v>0</v>
      </c>
      <c r="V486" s="45">
        <f t="shared" si="2507"/>
        <v>0</v>
      </c>
      <c r="W486" s="45">
        <f t="shared" si="2507"/>
        <v>71083.53</v>
      </c>
      <c r="X486" s="50">
        <f t="shared" ref="X486:Y486" si="2508">IF(O486&gt;0,O486/K486,0)</f>
        <v>0</v>
      </c>
      <c r="Y486" s="50">
        <f t="shared" si="2508"/>
        <v>1</v>
      </c>
      <c r="Z486" s="50">
        <f t="shared" si="2399"/>
        <v>0.23073102895978531</v>
      </c>
      <c r="AA486" s="45">
        <f t="shared" ref="AA486:BW486" si="2509">AA487+AA488</f>
        <v>0</v>
      </c>
      <c r="AB486" s="45">
        <f t="shared" si="2509"/>
        <v>0</v>
      </c>
      <c r="AC486" s="45">
        <f t="shared" si="2509"/>
        <v>0</v>
      </c>
      <c r="AD486" s="45">
        <f t="shared" si="2509"/>
        <v>0</v>
      </c>
      <c r="AE486" s="45">
        <f t="shared" si="2509"/>
        <v>1081.05</v>
      </c>
      <c r="AF486" s="45">
        <f t="shared" si="2509"/>
        <v>0</v>
      </c>
      <c r="AG486" s="45">
        <f t="shared" si="2509"/>
        <v>0</v>
      </c>
      <c r="AH486" s="45">
        <f t="shared" si="2509"/>
        <v>586.78</v>
      </c>
      <c r="AI486" s="45">
        <f t="shared" si="2509"/>
        <v>953.88</v>
      </c>
      <c r="AJ486" s="45">
        <f t="shared" si="2509"/>
        <v>0</v>
      </c>
      <c r="AK486" s="45">
        <f t="shared" si="2509"/>
        <v>0</v>
      </c>
      <c r="AL486" s="45">
        <f t="shared" si="2509"/>
        <v>5887.09</v>
      </c>
      <c r="AM486" s="45">
        <f t="shared" si="2509"/>
        <v>0</v>
      </c>
      <c r="AN486" s="45">
        <f t="shared" si="2509"/>
        <v>0</v>
      </c>
      <c r="AO486" s="45">
        <f t="shared" si="2509"/>
        <v>7219.6</v>
      </c>
      <c r="AP486" s="45">
        <f t="shared" si="2509"/>
        <v>0</v>
      </c>
      <c r="AQ486" s="45">
        <f t="shared" si="2509"/>
        <v>0</v>
      </c>
      <c r="AR486" s="45">
        <f t="shared" si="2509"/>
        <v>7259.9</v>
      </c>
      <c r="AS486" s="45">
        <f t="shared" si="2509"/>
        <v>0</v>
      </c>
      <c r="AT486" s="45">
        <f t="shared" si="2509"/>
        <v>0</v>
      </c>
      <c r="AU486" s="45">
        <f t="shared" si="2509"/>
        <v>0</v>
      </c>
      <c r="AV486" s="45">
        <f t="shared" si="2509"/>
        <v>0</v>
      </c>
      <c r="AW486" s="45">
        <f t="shared" si="2509"/>
        <v>0</v>
      </c>
      <c r="AX486" s="45">
        <f t="shared" si="2509"/>
        <v>0</v>
      </c>
      <c r="AY486" s="45">
        <f t="shared" si="2509"/>
        <v>0</v>
      </c>
      <c r="AZ486" s="45">
        <f t="shared" si="2509"/>
        <v>0</v>
      </c>
      <c r="BA486" s="45">
        <f t="shared" si="2509"/>
        <v>0</v>
      </c>
      <c r="BB486" s="45">
        <f t="shared" si="2509"/>
        <v>0</v>
      </c>
      <c r="BC486" s="45">
        <f t="shared" si="2509"/>
        <v>0</v>
      </c>
      <c r="BD486" s="45">
        <f t="shared" si="2509"/>
        <v>0</v>
      </c>
      <c r="BE486" s="45">
        <f t="shared" si="2509"/>
        <v>0</v>
      </c>
      <c r="BF486" s="45">
        <f t="shared" si="2509"/>
        <v>0</v>
      </c>
      <c r="BG486" s="45">
        <f t="shared" si="2509"/>
        <v>0</v>
      </c>
      <c r="BH486" s="45">
        <f t="shared" si="2509"/>
        <v>0</v>
      </c>
      <c r="BI486" s="45">
        <f t="shared" si="2509"/>
        <v>0</v>
      </c>
      <c r="BJ486" s="45">
        <f t="shared" si="2509"/>
        <v>0</v>
      </c>
      <c r="BK486" s="45">
        <f t="shared" si="2509"/>
        <v>0</v>
      </c>
      <c r="BL486" s="45">
        <f t="shared" si="2509"/>
        <v>0</v>
      </c>
      <c r="BM486" s="45">
        <f t="shared" si="2509"/>
        <v>0</v>
      </c>
      <c r="BN486" s="45">
        <f t="shared" si="2509"/>
        <v>0</v>
      </c>
      <c r="BO486" s="45">
        <f t="shared" si="2509"/>
        <v>12279.18</v>
      </c>
      <c r="BP486" s="45">
        <f t="shared" si="2509"/>
        <v>12279.18</v>
      </c>
      <c r="BQ486" s="45">
        <f t="shared" si="2509"/>
        <v>0</v>
      </c>
      <c r="BR486" s="45">
        <f t="shared" si="2509"/>
        <v>27324.82</v>
      </c>
      <c r="BS486" s="45">
        <f t="shared" si="2509"/>
        <v>27324.82</v>
      </c>
      <c r="BT486" s="45">
        <f t="shared" si="2509"/>
        <v>0</v>
      </c>
      <c r="BU486" s="45">
        <f t="shared" si="2509"/>
        <v>12279.18</v>
      </c>
      <c r="BV486" s="45">
        <f t="shared" si="2509"/>
        <v>27324.82</v>
      </c>
      <c r="BW486" s="45">
        <f t="shared" si="2509"/>
        <v>39604</v>
      </c>
      <c r="BX486" s="6"/>
      <c r="BY486" s="6"/>
      <c r="BZ486" s="6"/>
      <c r="CA486" s="6"/>
      <c r="CB486" s="6"/>
      <c r="CC486" s="6"/>
      <c r="CD486" s="6"/>
      <c r="CE486" s="6"/>
      <c r="CF486" s="6"/>
      <c r="CG486" s="6"/>
    </row>
    <row r="487" spans="1:85" ht="15.75" customHeight="1">
      <c r="A487" s="358" t="s">
        <v>624</v>
      </c>
      <c r="B487" s="196" t="s">
        <v>625</v>
      </c>
      <c r="C487" s="68" t="s">
        <v>138</v>
      </c>
      <c r="D487" s="105" t="s">
        <v>626</v>
      </c>
      <c r="E487" s="99">
        <v>0</v>
      </c>
      <c r="F487" s="99">
        <v>0</v>
      </c>
      <c r="G487" s="58">
        <f t="shared" ref="G487:G488" si="2510">E487-F487</f>
        <v>0</v>
      </c>
      <c r="H487" s="56">
        <v>96670</v>
      </c>
      <c r="I487" s="59">
        <f t="shared" si="2394"/>
        <v>0</v>
      </c>
      <c r="J487" s="59">
        <f t="shared" si="2395"/>
        <v>0</v>
      </c>
      <c r="K487" s="60">
        <v>0</v>
      </c>
      <c r="L487" s="100">
        <f>586.78+1081.05</f>
        <v>1667.83</v>
      </c>
      <c r="M487" s="100">
        <v>0</v>
      </c>
      <c r="N487" s="60">
        <f>20600.28+19003.72</f>
        <v>39604</v>
      </c>
      <c r="O487" s="61">
        <f t="shared" ref="O487:Q487" si="2511">AA487+AD487+AG487+AJ487+AM487+AP487+AS487+AV487+AY487+BB487+BE487+BH487</f>
        <v>0</v>
      </c>
      <c r="P487" s="61">
        <f t="shared" si="2511"/>
        <v>1667.83</v>
      </c>
      <c r="Q487" s="116">
        <f t="shared" si="2511"/>
        <v>12279.18</v>
      </c>
      <c r="R487" s="61">
        <f t="shared" ref="R487:T487" si="2512">IF(BK487=0,SUM(AA487+AD487+AG487+AJ487+AM487+AP487+AS487+AV487+AY487+BB487+BE487+BH487),BK487)</f>
        <v>0</v>
      </c>
      <c r="S487" s="61">
        <f t="shared" si="2512"/>
        <v>1667.83</v>
      </c>
      <c r="T487" s="61">
        <f t="shared" si="2512"/>
        <v>12279.18</v>
      </c>
      <c r="U487" s="63">
        <f t="shared" ref="U487:U488" si="2513">K487-O487</f>
        <v>0</v>
      </c>
      <c r="V487" s="63">
        <f t="shared" ref="V487:V488" si="2514">L487-M487-S487</f>
        <v>0</v>
      </c>
      <c r="W487" s="62">
        <f t="shared" ref="W487:W488" si="2515">N487-Q487</f>
        <v>27324.82</v>
      </c>
      <c r="X487" s="64">
        <f t="shared" ref="X487:Y487" si="2516">IF(O487&gt;0,O487/K487,0)</f>
        <v>0</v>
      </c>
      <c r="Y487" s="64">
        <f t="shared" si="2516"/>
        <v>1</v>
      </c>
      <c r="Z487" s="64">
        <f t="shared" si="2399"/>
        <v>0.31004898495101507</v>
      </c>
      <c r="AA487" s="65"/>
      <c r="AB487" s="65"/>
      <c r="AC487" s="65"/>
      <c r="AD487" s="65"/>
      <c r="AE487" s="113">
        <f>402.67+263.12+415.26</f>
        <v>1081.05</v>
      </c>
      <c r="AF487" s="66"/>
      <c r="AG487" s="113"/>
      <c r="AH487" s="113">
        <v>586.78</v>
      </c>
      <c r="AI487" s="100">
        <v>953.88</v>
      </c>
      <c r="AJ487" s="65"/>
      <c r="AK487" s="65"/>
      <c r="AL487" s="65">
        <f>3775.1</f>
        <v>3775.1</v>
      </c>
      <c r="AM487" s="65"/>
      <c r="AN487" s="65"/>
      <c r="AO487" s="65">
        <f>3775.1</f>
        <v>3775.1</v>
      </c>
      <c r="AP487" s="65"/>
      <c r="AQ487" s="65"/>
      <c r="AR487" s="65">
        <f>3775.1</f>
        <v>3775.1</v>
      </c>
      <c r="AS487" s="65"/>
      <c r="AT487" s="65"/>
      <c r="AU487" s="65"/>
      <c r="AV487" s="65"/>
      <c r="AW487" s="65"/>
      <c r="AX487" s="65"/>
      <c r="AY487" s="65"/>
      <c r="AZ487" s="65"/>
      <c r="BA487" s="65"/>
      <c r="BB487" s="65"/>
      <c r="BC487" s="65"/>
      <c r="BD487" s="65"/>
      <c r="BE487" s="65"/>
      <c r="BF487" s="65"/>
      <c r="BG487" s="65"/>
      <c r="BH487" s="65"/>
      <c r="BI487" s="65"/>
      <c r="BJ487" s="65"/>
      <c r="BK487" s="65">
        <v>0</v>
      </c>
      <c r="BL487" s="65">
        <v>0</v>
      </c>
      <c r="BM487" s="65">
        <v>0</v>
      </c>
      <c r="BN487" s="65">
        <f>IF(O487-BK487&gt;0,O487-BK487,0)</f>
        <v>0</v>
      </c>
      <c r="BO487" s="67">
        <f>IF(Q487-BM487&gt;0,Q487-BM487,0)</f>
        <v>12279.18</v>
      </c>
      <c r="BP487" s="65">
        <f>IF(BN487+BO487&gt;0,BN487+BO487,0)</f>
        <v>12279.18</v>
      </c>
      <c r="BQ487" s="65">
        <f>IF(U487=0,0,U487)</f>
        <v>0</v>
      </c>
      <c r="BR487" s="65">
        <f>IF(W487=0,0,W487)</f>
        <v>27324.82</v>
      </c>
      <c r="BS487" s="65">
        <f>IF(BQ487+BR487&gt;0,BQ487+BR487,0)</f>
        <v>27324.82</v>
      </c>
      <c r="BT487" s="65">
        <f>IF(V487&gt;0,V487,0)</f>
        <v>0</v>
      </c>
      <c r="BU487" s="65">
        <f>IF(BP487=0,0,BP487)</f>
        <v>12279.18</v>
      </c>
      <c r="BV487" s="65">
        <f>IF(BS487=0,0,BS487)</f>
        <v>27324.82</v>
      </c>
      <c r="BW487" s="65">
        <f>IF(BP487+BT487+BV487&gt;0,BP487+BT487+BV487,0)</f>
        <v>39604</v>
      </c>
      <c r="BX487" s="6"/>
      <c r="BY487" s="6"/>
      <c r="BZ487" s="6"/>
      <c r="CA487" s="6"/>
      <c r="CB487" s="6"/>
      <c r="CC487" s="6"/>
      <c r="CD487" s="6"/>
      <c r="CE487" s="6"/>
      <c r="CF487" s="6"/>
      <c r="CG487" s="6"/>
    </row>
    <row r="488" spans="1:85" ht="15.75" customHeight="1">
      <c r="A488" s="358" t="s">
        <v>627</v>
      </c>
      <c r="B488" s="196"/>
      <c r="C488" s="68" t="s">
        <v>138</v>
      </c>
      <c r="D488" s="105" t="s">
        <v>628</v>
      </c>
      <c r="E488" s="99">
        <v>0</v>
      </c>
      <c r="F488" s="99">
        <v>0</v>
      </c>
      <c r="G488" s="58">
        <f t="shared" si="2510"/>
        <v>0</v>
      </c>
      <c r="H488" s="57">
        <v>0</v>
      </c>
      <c r="I488" s="59">
        <f t="shared" si="2394"/>
        <v>0</v>
      </c>
      <c r="J488" s="59">
        <f t="shared" si="2395"/>
        <v>0</v>
      </c>
      <c r="K488" s="60">
        <v>0</v>
      </c>
      <c r="L488" s="74">
        <v>0</v>
      </c>
      <c r="M488" s="74">
        <v>0</v>
      </c>
      <c r="N488" s="74">
        <f>70400-17600</f>
        <v>52800</v>
      </c>
      <c r="O488" s="359">
        <v>0</v>
      </c>
      <c r="P488" s="61">
        <f t="shared" ref="P488:Q488" si="2517">AB488+AE488+AH488+AK488+AN488+AQ488+AT488+AW488+AZ488+BC488+BF488+BI488</f>
        <v>0</v>
      </c>
      <c r="Q488" s="116">
        <f t="shared" si="2517"/>
        <v>9041.2900000000009</v>
      </c>
      <c r="R488" s="61">
        <f t="shared" ref="R488:T488" si="2518">IF(BK488=0,SUM(AA488+AD488+AG488+AJ488+AM488+AP488+AS488+AV488+AY488+BB488+BE488+BH488),BK488)</f>
        <v>0</v>
      </c>
      <c r="S488" s="61">
        <f t="shared" si="2518"/>
        <v>0</v>
      </c>
      <c r="T488" s="61">
        <f t="shared" si="2518"/>
        <v>9041.2900000000009</v>
      </c>
      <c r="U488" s="63">
        <f t="shared" si="2513"/>
        <v>0</v>
      </c>
      <c r="V488" s="63">
        <f t="shared" si="2514"/>
        <v>0</v>
      </c>
      <c r="W488" s="62">
        <f t="shared" si="2515"/>
        <v>43758.71</v>
      </c>
      <c r="X488" s="64">
        <f t="shared" ref="X488:Y488" si="2519">IF(O488&gt;0,O488/K488,0)</f>
        <v>0</v>
      </c>
      <c r="Y488" s="64">
        <f t="shared" si="2519"/>
        <v>0</v>
      </c>
      <c r="Z488" s="64">
        <f t="shared" si="2399"/>
        <v>0.17123655303030305</v>
      </c>
      <c r="AA488" s="65"/>
      <c r="AB488" s="65"/>
      <c r="AC488" s="65"/>
      <c r="AD488" s="65"/>
      <c r="AE488" s="66"/>
      <c r="AF488" s="66"/>
      <c r="AG488" s="66"/>
      <c r="AH488" s="66"/>
      <c r="AI488" s="65"/>
      <c r="AJ488" s="65"/>
      <c r="AK488" s="65"/>
      <c r="AL488" s="100">
        <v>2111.9899999999998</v>
      </c>
      <c r="AM488" s="65"/>
      <c r="AN488" s="65"/>
      <c r="AO488" s="65">
        <f>3444.5</f>
        <v>3444.5</v>
      </c>
      <c r="AP488" s="65"/>
      <c r="AQ488" s="65"/>
      <c r="AR488" s="65">
        <f>3484.8</f>
        <v>3484.8</v>
      </c>
      <c r="AS488" s="65"/>
      <c r="AT488" s="65"/>
      <c r="AU488" s="65"/>
      <c r="AV488" s="65"/>
      <c r="AW488" s="65"/>
      <c r="AX488" s="65"/>
      <c r="AY488" s="65"/>
      <c r="AZ488" s="65"/>
      <c r="BA488" s="65"/>
      <c r="BB488" s="65"/>
      <c r="BC488" s="65"/>
      <c r="BD488" s="65"/>
      <c r="BE488" s="65"/>
      <c r="BF488" s="65"/>
      <c r="BG488" s="65"/>
      <c r="BH488" s="65"/>
      <c r="BI488" s="65"/>
      <c r="BJ488" s="65"/>
      <c r="BK488" s="65"/>
      <c r="BL488" s="65"/>
      <c r="BM488" s="65"/>
      <c r="BN488" s="65"/>
      <c r="BO488" s="67"/>
      <c r="BP488" s="65"/>
      <c r="BQ488" s="65"/>
      <c r="BR488" s="65"/>
      <c r="BS488" s="65"/>
      <c r="BT488" s="65"/>
      <c r="BU488" s="65"/>
      <c r="BV488" s="65"/>
      <c r="BW488" s="65"/>
      <c r="BX488" s="6"/>
      <c r="BY488" s="6"/>
      <c r="BZ488" s="6"/>
      <c r="CA488" s="6"/>
      <c r="CB488" s="6"/>
      <c r="CC488" s="6"/>
      <c r="CD488" s="6"/>
      <c r="CE488" s="6"/>
      <c r="CF488" s="6"/>
      <c r="CG488" s="6"/>
    </row>
    <row r="489" spans="1:85" ht="15.75" customHeight="1">
      <c r="A489" s="325"/>
      <c r="B489" s="326"/>
      <c r="C489" s="327"/>
      <c r="D489" s="328" t="s">
        <v>629</v>
      </c>
      <c r="E489" s="329">
        <f t="shared" ref="E489:H489" si="2520">E490</f>
        <v>0</v>
      </c>
      <c r="F489" s="344">
        <f t="shared" si="2520"/>
        <v>0</v>
      </c>
      <c r="G489" s="344">
        <f t="shared" si="2520"/>
        <v>0</v>
      </c>
      <c r="H489" s="344">
        <f t="shared" si="2520"/>
        <v>266193.2</v>
      </c>
      <c r="I489" s="330">
        <f t="shared" si="2394"/>
        <v>0</v>
      </c>
      <c r="J489" s="330">
        <f t="shared" si="2395"/>
        <v>0</v>
      </c>
      <c r="K489" s="344">
        <f t="shared" ref="K489:W489" si="2521">K490</f>
        <v>0</v>
      </c>
      <c r="L489" s="344">
        <f t="shared" si="2521"/>
        <v>70259.799999999988</v>
      </c>
      <c r="M489" s="344">
        <f t="shared" si="2521"/>
        <v>0</v>
      </c>
      <c r="N489" s="344">
        <f t="shared" si="2521"/>
        <v>0</v>
      </c>
      <c r="O489" s="344">
        <f t="shared" si="2521"/>
        <v>0</v>
      </c>
      <c r="P489" s="344">
        <f t="shared" si="2521"/>
        <v>54646.899999999994</v>
      </c>
      <c r="Q489" s="344">
        <f t="shared" si="2521"/>
        <v>0</v>
      </c>
      <c r="R489" s="344">
        <f t="shared" si="2521"/>
        <v>0</v>
      </c>
      <c r="S489" s="344">
        <f t="shared" si="2521"/>
        <v>54646.899999999994</v>
      </c>
      <c r="T489" s="344">
        <f t="shared" si="2521"/>
        <v>0</v>
      </c>
      <c r="U489" s="344">
        <f t="shared" si="2521"/>
        <v>0</v>
      </c>
      <c r="V489" s="344">
        <f t="shared" si="2521"/>
        <v>15612.900000000003</v>
      </c>
      <c r="W489" s="344">
        <f t="shared" si="2521"/>
        <v>0</v>
      </c>
      <c r="X489" s="339">
        <f t="shared" ref="X489:Y489" si="2522">IF(O489&gt;0,O489/K489,0)</f>
        <v>0</v>
      </c>
      <c r="Y489" s="339">
        <f t="shared" si="2522"/>
        <v>0.77778331279052892</v>
      </c>
      <c r="Z489" s="339">
        <f t="shared" si="2399"/>
        <v>0</v>
      </c>
      <c r="AA489" s="344">
        <f t="shared" ref="AA489:BW489" si="2523">AA490</f>
        <v>0</v>
      </c>
      <c r="AB489" s="344">
        <f t="shared" si="2523"/>
        <v>0</v>
      </c>
      <c r="AC489" s="344">
        <f t="shared" si="2523"/>
        <v>0</v>
      </c>
      <c r="AD489" s="344">
        <f t="shared" si="2523"/>
        <v>0</v>
      </c>
      <c r="AE489" s="344">
        <f t="shared" si="2523"/>
        <v>1669.2</v>
      </c>
      <c r="AF489" s="344">
        <f t="shared" si="2523"/>
        <v>0</v>
      </c>
      <c r="AG489" s="344">
        <f t="shared" si="2523"/>
        <v>0</v>
      </c>
      <c r="AH489" s="344">
        <f t="shared" si="2523"/>
        <v>6011</v>
      </c>
      <c r="AI489" s="344">
        <f t="shared" si="2523"/>
        <v>0</v>
      </c>
      <c r="AJ489" s="344">
        <f t="shared" si="2523"/>
        <v>0</v>
      </c>
      <c r="AK489" s="344">
        <f t="shared" si="2523"/>
        <v>17336.900000000001</v>
      </c>
      <c r="AL489" s="344">
        <f t="shared" si="2523"/>
        <v>0</v>
      </c>
      <c r="AM489" s="344">
        <f t="shared" si="2523"/>
        <v>0</v>
      </c>
      <c r="AN489" s="344">
        <f t="shared" si="2523"/>
        <v>22856.2</v>
      </c>
      <c r="AO489" s="344">
        <f t="shared" si="2523"/>
        <v>0</v>
      </c>
      <c r="AP489" s="344">
        <f t="shared" si="2523"/>
        <v>0</v>
      </c>
      <c r="AQ489" s="344">
        <f t="shared" si="2523"/>
        <v>6773.6</v>
      </c>
      <c r="AR489" s="344">
        <f t="shared" si="2523"/>
        <v>0</v>
      </c>
      <c r="AS489" s="344">
        <f t="shared" si="2523"/>
        <v>0</v>
      </c>
      <c r="AT489" s="344">
        <f t="shared" si="2523"/>
        <v>0</v>
      </c>
      <c r="AU489" s="344">
        <f t="shared" si="2523"/>
        <v>0</v>
      </c>
      <c r="AV489" s="344">
        <f t="shared" si="2523"/>
        <v>0</v>
      </c>
      <c r="AW489" s="344">
        <f t="shared" si="2523"/>
        <v>0</v>
      </c>
      <c r="AX489" s="344">
        <f t="shared" si="2523"/>
        <v>0</v>
      </c>
      <c r="AY489" s="344">
        <f t="shared" si="2523"/>
        <v>0</v>
      </c>
      <c r="AZ489" s="344">
        <f t="shared" si="2523"/>
        <v>0</v>
      </c>
      <c r="BA489" s="344">
        <f t="shared" si="2523"/>
        <v>0</v>
      </c>
      <c r="BB489" s="344">
        <f t="shared" si="2523"/>
        <v>0</v>
      </c>
      <c r="BC489" s="344">
        <f t="shared" si="2523"/>
        <v>0</v>
      </c>
      <c r="BD489" s="344">
        <f t="shared" si="2523"/>
        <v>0</v>
      </c>
      <c r="BE489" s="344">
        <f t="shared" si="2523"/>
        <v>0</v>
      </c>
      <c r="BF489" s="344">
        <f t="shared" si="2523"/>
        <v>0</v>
      </c>
      <c r="BG489" s="344">
        <f t="shared" si="2523"/>
        <v>0</v>
      </c>
      <c r="BH489" s="344">
        <f t="shared" si="2523"/>
        <v>0</v>
      </c>
      <c r="BI489" s="344">
        <f t="shared" si="2523"/>
        <v>0</v>
      </c>
      <c r="BJ489" s="344">
        <f t="shared" si="2523"/>
        <v>0</v>
      </c>
      <c r="BK489" s="344">
        <f t="shared" si="2523"/>
        <v>0</v>
      </c>
      <c r="BL489" s="344">
        <f t="shared" si="2523"/>
        <v>0</v>
      </c>
      <c r="BM489" s="344">
        <f t="shared" si="2523"/>
        <v>0</v>
      </c>
      <c r="BN489" s="344">
        <f t="shared" si="2523"/>
        <v>0</v>
      </c>
      <c r="BO489" s="344">
        <f t="shared" si="2523"/>
        <v>0</v>
      </c>
      <c r="BP489" s="344">
        <f t="shared" si="2523"/>
        <v>0</v>
      </c>
      <c r="BQ489" s="344">
        <f t="shared" si="2523"/>
        <v>0</v>
      </c>
      <c r="BR489" s="344">
        <f t="shared" si="2523"/>
        <v>0</v>
      </c>
      <c r="BS489" s="344">
        <f t="shared" si="2523"/>
        <v>0</v>
      </c>
      <c r="BT489" s="344">
        <f t="shared" si="2523"/>
        <v>15612.900000000003</v>
      </c>
      <c r="BU489" s="344">
        <f t="shared" si="2523"/>
        <v>0</v>
      </c>
      <c r="BV489" s="344">
        <f t="shared" si="2523"/>
        <v>0</v>
      </c>
      <c r="BW489" s="344">
        <f t="shared" si="2523"/>
        <v>15612.900000000003</v>
      </c>
      <c r="BX489" s="6"/>
      <c r="BY489" s="6"/>
      <c r="BZ489" s="6"/>
      <c r="CA489" s="6"/>
      <c r="CB489" s="6"/>
      <c r="CC489" s="6"/>
      <c r="CD489" s="6"/>
      <c r="CE489" s="6"/>
      <c r="CF489" s="6"/>
      <c r="CG489" s="6"/>
    </row>
    <row r="490" spans="1:85" ht="15.75">
      <c r="A490" s="41"/>
      <c r="B490" s="42"/>
      <c r="C490" s="43"/>
      <c r="D490" s="44" t="s">
        <v>584</v>
      </c>
      <c r="E490" s="45">
        <f t="shared" ref="E490:H490" si="2524">SUM(E491+E501)</f>
        <v>0</v>
      </c>
      <c r="F490" s="45">
        <f t="shared" si="2524"/>
        <v>0</v>
      </c>
      <c r="G490" s="45">
        <f t="shared" si="2524"/>
        <v>0</v>
      </c>
      <c r="H490" s="45">
        <f t="shared" si="2524"/>
        <v>266193.2</v>
      </c>
      <c r="I490" s="47">
        <f t="shared" si="2394"/>
        <v>0</v>
      </c>
      <c r="J490" s="47">
        <f t="shared" si="2395"/>
        <v>0</v>
      </c>
      <c r="K490" s="45">
        <f t="shared" ref="K490:W490" si="2525">SUM(K491+K501)</f>
        <v>0</v>
      </c>
      <c r="L490" s="45">
        <f t="shared" si="2525"/>
        <v>70259.799999999988</v>
      </c>
      <c r="M490" s="45">
        <f t="shared" si="2525"/>
        <v>0</v>
      </c>
      <c r="N490" s="45">
        <f t="shared" si="2525"/>
        <v>0</v>
      </c>
      <c r="O490" s="45">
        <f t="shared" si="2525"/>
        <v>0</v>
      </c>
      <c r="P490" s="45">
        <f t="shared" si="2525"/>
        <v>54646.899999999994</v>
      </c>
      <c r="Q490" s="45">
        <f t="shared" si="2525"/>
        <v>0</v>
      </c>
      <c r="R490" s="45">
        <f t="shared" si="2525"/>
        <v>0</v>
      </c>
      <c r="S490" s="45">
        <f t="shared" si="2525"/>
        <v>54646.899999999994</v>
      </c>
      <c r="T490" s="45">
        <f t="shared" si="2525"/>
        <v>0</v>
      </c>
      <c r="U490" s="45">
        <f t="shared" si="2525"/>
        <v>0</v>
      </c>
      <c r="V490" s="45">
        <f t="shared" si="2525"/>
        <v>15612.900000000003</v>
      </c>
      <c r="W490" s="45">
        <f t="shared" si="2525"/>
        <v>0</v>
      </c>
      <c r="X490" s="50">
        <f t="shared" ref="X490:Y490" si="2526">IF(O490&gt;0,O490/K490,0)</f>
        <v>0</v>
      </c>
      <c r="Y490" s="50">
        <f t="shared" si="2526"/>
        <v>0.77778331279052892</v>
      </c>
      <c r="Z490" s="50">
        <f t="shared" si="2399"/>
        <v>0</v>
      </c>
      <c r="AA490" s="45">
        <f t="shared" ref="AA490:BW490" si="2527">SUM(AA491+AA501)</f>
        <v>0</v>
      </c>
      <c r="AB490" s="45">
        <f t="shared" si="2527"/>
        <v>0</v>
      </c>
      <c r="AC490" s="45">
        <f t="shared" si="2527"/>
        <v>0</v>
      </c>
      <c r="AD490" s="45">
        <f t="shared" si="2527"/>
        <v>0</v>
      </c>
      <c r="AE490" s="45">
        <f t="shared" si="2527"/>
        <v>1669.2</v>
      </c>
      <c r="AF490" s="45">
        <f t="shared" si="2527"/>
        <v>0</v>
      </c>
      <c r="AG490" s="45">
        <f t="shared" si="2527"/>
        <v>0</v>
      </c>
      <c r="AH490" s="45">
        <f t="shared" si="2527"/>
        <v>6011</v>
      </c>
      <c r="AI490" s="45">
        <f t="shared" si="2527"/>
        <v>0</v>
      </c>
      <c r="AJ490" s="45">
        <f t="shared" si="2527"/>
        <v>0</v>
      </c>
      <c r="AK490" s="45">
        <f t="shared" si="2527"/>
        <v>17336.900000000001</v>
      </c>
      <c r="AL490" s="45">
        <f t="shared" si="2527"/>
        <v>0</v>
      </c>
      <c r="AM490" s="45">
        <f t="shared" si="2527"/>
        <v>0</v>
      </c>
      <c r="AN490" s="45">
        <f t="shared" si="2527"/>
        <v>22856.2</v>
      </c>
      <c r="AO490" s="45">
        <f t="shared" si="2527"/>
        <v>0</v>
      </c>
      <c r="AP490" s="45">
        <f t="shared" si="2527"/>
        <v>0</v>
      </c>
      <c r="AQ490" s="45">
        <f t="shared" si="2527"/>
        <v>6773.6</v>
      </c>
      <c r="AR490" s="45">
        <f t="shared" si="2527"/>
        <v>0</v>
      </c>
      <c r="AS490" s="45">
        <f t="shared" si="2527"/>
        <v>0</v>
      </c>
      <c r="AT490" s="45">
        <f t="shared" si="2527"/>
        <v>0</v>
      </c>
      <c r="AU490" s="45">
        <f t="shared" si="2527"/>
        <v>0</v>
      </c>
      <c r="AV490" s="45">
        <f t="shared" si="2527"/>
        <v>0</v>
      </c>
      <c r="AW490" s="45">
        <f t="shared" si="2527"/>
        <v>0</v>
      </c>
      <c r="AX490" s="45">
        <f t="shared" si="2527"/>
        <v>0</v>
      </c>
      <c r="AY490" s="45">
        <f t="shared" si="2527"/>
        <v>0</v>
      </c>
      <c r="AZ490" s="45">
        <f t="shared" si="2527"/>
        <v>0</v>
      </c>
      <c r="BA490" s="45">
        <f t="shared" si="2527"/>
        <v>0</v>
      </c>
      <c r="BB490" s="45">
        <f t="shared" si="2527"/>
        <v>0</v>
      </c>
      <c r="BC490" s="45">
        <f t="shared" si="2527"/>
        <v>0</v>
      </c>
      <c r="BD490" s="45">
        <f t="shared" si="2527"/>
        <v>0</v>
      </c>
      <c r="BE490" s="45">
        <f t="shared" si="2527"/>
        <v>0</v>
      </c>
      <c r="BF490" s="45">
        <f t="shared" si="2527"/>
        <v>0</v>
      </c>
      <c r="BG490" s="45">
        <f t="shared" si="2527"/>
        <v>0</v>
      </c>
      <c r="BH490" s="45">
        <f t="shared" si="2527"/>
        <v>0</v>
      </c>
      <c r="BI490" s="45">
        <f t="shared" si="2527"/>
        <v>0</v>
      </c>
      <c r="BJ490" s="45">
        <f t="shared" si="2527"/>
        <v>0</v>
      </c>
      <c r="BK490" s="45">
        <f t="shared" si="2527"/>
        <v>0</v>
      </c>
      <c r="BL490" s="45">
        <f t="shared" si="2527"/>
        <v>0</v>
      </c>
      <c r="BM490" s="45">
        <f t="shared" si="2527"/>
        <v>0</v>
      </c>
      <c r="BN490" s="45">
        <f t="shared" si="2527"/>
        <v>0</v>
      </c>
      <c r="BO490" s="45">
        <f t="shared" si="2527"/>
        <v>0</v>
      </c>
      <c r="BP490" s="45">
        <f t="shared" si="2527"/>
        <v>0</v>
      </c>
      <c r="BQ490" s="45">
        <f t="shared" si="2527"/>
        <v>0</v>
      </c>
      <c r="BR490" s="45">
        <f t="shared" si="2527"/>
        <v>0</v>
      </c>
      <c r="BS490" s="45">
        <f t="shared" si="2527"/>
        <v>0</v>
      </c>
      <c r="BT490" s="45">
        <f t="shared" si="2527"/>
        <v>15612.900000000003</v>
      </c>
      <c r="BU490" s="45">
        <f t="shared" si="2527"/>
        <v>0</v>
      </c>
      <c r="BV490" s="45">
        <f t="shared" si="2527"/>
        <v>0</v>
      </c>
      <c r="BW490" s="45">
        <f t="shared" si="2527"/>
        <v>15612.900000000003</v>
      </c>
      <c r="BX490" s="51"/>
      <c r="BY490" s="51"/>
      <c r="BZ490" s="51"/>
      <c r="CA490" s="51"/>
      <c r="CB490" s="51"/>
      <c r="CC490" s="51"/>
      <c r="CD490" s="51"/>
      <c r="CE490" s="51"/>
      <c r="CF490" s="51"/>
      <c r="CG490" s="51"/>
    </row>
    <row r="491" spans="1:85" ht="15.75" customHeight="1">
      <c r="A491" s="209"/>
      <c r="B491" s="360"/>
      <c r="C491" s="211"/>
      <c r="D491" s="212" t="s">
        <v>630</v>
      </c>
      <c r="E491" s="213">
        <f t="shared" ref="E491:H491" si="2528">SUM(E492:E500)</f>
        <v>0</v>
      </c>
      <c r="F491" s="213">
        <f t="shared" si="2528"/>
        <v>0</v>
      </c>
      <c r="G491" s="213">
        <f t="shared" si="2528"/>
        <v>0</v>
      </c>
      <c r="H491" s="213">
        <f t="shared" si="2528"/>
        <v>100000</v>
      </c>
      <c r="I491" s="215">
        <f t="shared" si="2394"/>
        <v>0</v>
      </c>
      <c r="J491" s="215">
        <f t="shared" si="2395"/>
        <v>0</v>
      </c>
      <c r="K491" s="213">
        <f t="shared" ref="K491:W491" si="2529">SUM(K492:K500)</f>
        <v>0</v>
      </c>
      <c r="L491" s="213">
        <f t="shared" si="2529"/>
        <v>70259.799999999988</v>
      </c>
      <c r="M491" s="213">
        <f t="shared" si="2529"/>
        <v>0</v>
      </c>
      <c r="N491" s="213">
        <f t="shared" si="2529"/>
        <v>0</v>
      </c>
      <c r="O491" s="213">
        <f t="shared" si="2529"/>
        <v>0</v>
      </c>
      <c r="P491" s="213">
        <f t="shared" si="2529"/>
        <v>54646.899999999994</v>
      </c>
      <c r="Q491" s="213">
        <f t="shared" si="2529"/>
        <v>0</v>
      </c>
      <c r="R491" s="213">
        <f t="shared" si="2529"/>
        <v>0</v>
      </c>
      <c r="S491" s="213">
        <f t="shared" si="2529"/>
        <v>54646.899999999994</v>
      </c>
      <c r="T491" s="213">
        <f t="shared" si="2529"/>
        <v>0</v>
      </c>
      <c r="U491" s="213">
        <f t="shared" si="2529"/>
        <v>0</v>
      </c>
      <c r="V491" s="213">
        <f t="shared" si="2529"/>
        <v>15612.900000000003</v>
      </c>
      <c r="W491" s="213">
        <f t="shared" si="2529"/>
        <v>0</v>
      </c>
      <c r="X491" s="216">
        <f t="shared" ref="X491:Y491" si="2530">IF(O491&gt;0,O491/K491,0)</f>
        <v>0</v>
      </c>
      <c r="Y491" s="216">
        <f t="shared" si="2530"/>
        <v>0.77778331279052892</v>
      </c>
      <c r="Z491" s="216">
        <f t="shared" si="2399"/>
        <v>0</v>
      </c>
      <c r="AA491" s="213">
        <f t="shared" ref="AA491:BW491" si="2531">SUM(AA492:AA500)</f>
        <v>0</v>
      </c>
      <c r="AB491" s="213">
        <f t="shared" si="2531"/>
        <v>0</v>
      </c>
      <c r="AC491" s="213">
        <f t="shared" si="2531"/>
        <v>0</v>
      </c>
      <c r="AD491" s="213">
        <f t="shared" si="2531"/>
        <v>0</v>
      </c>
      <c r="AE491" s="213">
        <f t="shared" si="2531"/>
        <v>1669.2</v>
      </c>
      <c r="AF491" s="213">
        <f t="shared" si="2531"/>
        <v>0</v>
      </c>
      <c r="AG491" s="213">
        <f t="shared" si="2531"/>
        <v>0</v>
      </c>
      <c r="AH491" s="213">
        <f t="shared" si="2531"/>
        <v>6011</v>
      </c>
      <c r="AI491" s="213">
        <f t="shared" si="2531"/>
        <v>0</v>
      </c>
      <c r="AJ491" s="213">
        <f t="shared" si="2531"/>
        <v>0</v>
      </c>
      <c r="AK491" s="213">
        <f t="shared" si="2531"/>
        <v>17336.900000000001</v>
      </c>
      <c r="AL491" s="213">
        <f t="shared" si="2531"/>
        <v>0</v>
      </c>
      <c r="AM491" s="213">
        <f t="shared" si="2531"/>
        <v>0</v>
      </c>
      <c r="AN491" s="213">
        <f t="shared" si="2531"/>
        <v>22856.2</v>
      </c>
      <c r="AO491" s="213">
        <f t="shared" si="2531"/>
        <v>0</v>
      </c>
      <c r="AP491" s="213">
        <f t="shared" si="2531"/>
        <v>0</v>
      </c>
      <c r="AQ491" s="213">
        <f t="shared" si="2531"/>
        <v>6773.6</v>
      </c>
      <c r="AR491" s="213">
        <f t="shared" si="2531"/>
        <v>0</v>
      </c>
      <c r="AS491" s="213">
        <f t="shared" si="2531"/>
        <v>0</v>
      </c>
      <c r="AT491" s="213">
        <f t="shared" si="2531"/>
        <v>0</v>
      </c>
      <c r="AU491" s="213">
        <f t="shared" si="2531"/>
        <v>0</v>
      </c>
      <c r="AV491" s="213">
        <f t="shared" si="2531"/>
        <v>0</v>
      </c>
      <c r="AW491" s="213">
        <f t="shared" si="2531"/>
        <v>0</v>
      </c>
      <c r="AX491" s="213">
        <f t="shared" si="2531"/>
        <v>0</v>
      </c>
      <c r="AY491" s="213">
        <f t="shared" si="2531"/>
        <v>0</v>
      </c>
      <c r="AZ491" s="213">
        <f t="shared" si="2531"/>
        <v>0</v>
      </c>
      <c r="BA491" s="213">
        <f t="shared" si="2531"/>
        <v>0</v>
      </c>
      <c r="BB491" s="213">
        <f t="shared" si="2531"/>
        <v>0</v>
      </c>
      <c r="BC491" s="213">
        <f t="shared" si="2531"/>
        <v>0</v>
      </c>
      <c r="BD491" s="213">
        <f t="shared" si="2531"/>
        <v>0</v>
      </c>
      <c r="BE491" s="213">
        <f t="shared" si="2531"/>
        <v>0</v>
      </c>
      <c r="BF491" s="213">
        <f t="shared" si="2531"/>
        <v>0</v>
      </c>
      <c r="BG491" s="213">
        <f t="shared" si="2531"/>
        <v>0</v>
      </c>
      <c r="BH491" s="213">
        <f t="shared" si="2531"/>
        <v>0</v>
      </c>
      <c r="BI491" s="213">
        <f t="shared" si="2531"/>
        <v>0</v>
      </c>
      <c r="BJ491" s="213">
        <f t="shared" si="2531"/>
        <v>0</v>
      </c>
      <c r="BK491" s="213">
        <f t="shared" si="2531"/>
        <v>0</v>
      </c>
      <c r="BL491" s="213">
        <f t="shared" si="2531"/>
        <v>0</v>
      </c>
      <c r="BM491" s="213">
        <f t="shared" si="2531"/>
        <v>0</v>
      </c>
      <c r="BN491" s="213">
        <f t="shared" si="2531"/>
        <v>0</v>
      </c>
      <c r="BO491" s="213">
        <f t="shared" si="2531"/>
        <v>0</v>
      </c>
      <c r="BP491" s="213">
        <f t="shared" si="2531"/>
        <v>0</v>
      </c>
      <c r="BQ491" s="213">
        <f t="shared" si="2531"/>
        <v>0</v>
      </c>
      <c r="BR491" s="213">
        <f t="shared" si="2531"/>
        <v>0</v>
      </c>
      <c r="BS491" s="213">
        <f t="shared" si="2531"/>
        <v>0</v>
      </c>
      <c r="BT491" s="213">
        <f t="shared" si="2531"/>
        <v>15612.900000000003</v>
      </c>
      <c r="BU491" s="213">
        <f t="shared" si="2531"/>
        <v>0</v>
      </c>
      <c r="BV491" s="213">
        <f t="shared" si="2531"/>
        <v>0</v>
      </c>
      <c r="BW491" s="213">
        <f t="shared" si="2531"/>
        <v>15612.900000000003</v>
      </c>
      <c r="BX491" s="51"/>
      <c r="BY491" s="51"/>
      <c r="BZ491" s="51"/>
      <c r="CA491" s="51"/>
      <c r="CB491" s="51"/>
      <c r="CC491" s="51"/>
      <c r="CD491" s="51"/>
      <c r="CE491" s="51"/>
      <c r="CF491" s="51"/>
      <c r="CG491" s="51"/>
    </row>
    <row r="492" spans="1:85" ht="15.75" customHeight="1">
      <c r="A492" s="68"/>
      <c r="B492" s="103"/>
      <c r="C492" s="68" t="s">
        <v>585</v>
      </c>
      <c r="D492" s="105" t="s">
        <v>586</v>
      </c>
      <c r="E492" s="99">
        <v>0</v>
      </c>
      <c r="F492" s="99">
        <v>0</v>
      </c>
      <c r="G492" s="58">
        <f t="shared" ref="G492:G500" si="2532">E492-F492</f>
        <v>0</v>
      </c>
      <c r="H492" s="56">
        <v>100000</v>
      </c>
      <c r="I492" s="59">
        <f t="shared" si="2394"/>
        <v>0</v>
      </c>
      <c r="J492" s="59">
        <f t="shared" si="2395"/>
        <v>0</v>
      </c>
      <c r="K492" s="74">
        <v>0</v>
      </c>
      <c r="L492" s="74">
        <v>0</v>
      </c>
      <c r="M492" s="74">
        <v>0</v>
      </c>
      <c r="N492" s="74">
        <v>0</v>
      </c>
      <c r="O492" s="61">
        <f t="shared" ref="O492:Q492" si="2533">AA492+AD492+AG492+AJ492+AM492+AP492+AS492+AV492+AY492+BB492+BE492+BH492</f>
        <v>0</v>
      </c>
      <c r="P492" s="61">
        <f t="shared" si="2533"/>
        <v>0</v>
      </c>
      <c r="Q492" s="61">
        <f t="shared" si="2533"/>
        <v>0</v>
      </c>
      <c r="R492" s="61">
        <f t="shared" ref="R492:T492" si="2534">IF(BK492=0,SUM(AA492+AD492+AG492+AJ492+AM492+AP492+AS492+AV492+AY492+BB492+BE492+BH492),BK492)</f>
        <v>0</v>
      </c>
      <c r="S492" s="61">
        <f t="shared" si="2534"/>
        <v>0</v>
      </c>
      <c r="T492" s="61">
        <f t="shared" si="2534"/>
        <v>0</v>
      </c>
      <c r="U492" s="63">
        <f t="shared" ref="U492:U500" si="2535">K492-O492</f>
        <v>0</v>
      </c>
      <c r="V492" s="63">
        <f t="shared" ref="V492:V500" si="2536">L492-M492-S492</f>
        <v>0</v>
      </c>
      <c r="W492" s="63">
        <f t="shared" ref="W492:W500" si="2537">N492-Q492</f>
        <v>0</v>
      </c>
      <c r="X492" s="64">
        <f t="shared" ref="X492:Y492" si="2538">IF(O492&gt;0,O492/K492,0)</f>
        <v>0</v>
      </c>
      <c r="Y492" s="64">
        <f t="shared" si="2538"/>
        <v>0</v>
      </c>
      <c r="Z492" s="64">
        <f t="shared" si="2399"/>
        <v>0</v>
      </c>
      <c r="AA492" s="65"/>
      <c r="AB492" s="65"/>
      <c r="AC492" s="65"/>
      <c r="AD492" s="65"/>
      <c r="AE492" s="66"/>
      <c r="AF492" s="66"/>
      <c r="AG492" s="66"/>
      <c r="AH492" s="66"/>
      <c r="AI492" s="65"/>
      <c r="AJ492" s="65"/>
      <c r="AK492" s="65"/>
      <c r="AL492" s="65"/>
      <c r="AM492" s="65"/>
      <c r="AN492" s="65"/>
      <c r="AO492" s="65"/>
      <c r="AP492" s="65"/>
      <c r="AQ492" s="65"/>
      <c r="AR492" s="65"/>
      <c r="AS492" s="65"/>
      <c r="AT492" s="65"/>
      <c r="AU492" s="65"/>
      <c r="AV492" s="65"/>
      <c r="AW492" s="65"/>
      <c r="AX492" s="65"/>
      <c r="AY492" s="65"/>
      <c r="AZ492" s="65"/>
      <c r="BA492" s="65"/>
      <c r="BB492" s="65"/>
      <c r="BC492" s="65"/>
      <c r="BD492" s="65"/>
      <c r="BE492" s="65"/>
      <c r="BF492" s="65"/>
      <c r="BG492" s="65"/>
      <c r="BH492" s="65"/>
      <c r="BI492" s="65"/>
      <c r="BJ492" s="65"/>
      <c r="BK492" s="65">
        <v>0</v>
      </c>
      <c r="BL492" s="65">
        <v>0</v>
      </c>
      <c r="BM492" s="65">
        <v>0</v>
      </c>
      <c r="BN492" s="65">
        <f t="shared" ref="BN492:BN500" si="2539">IF(O492-BK492&gt;0,O492-BK492,0)</f>
        <v>0</v>
      </c>
      <c r="BO492" s="67">
        <f t="shared" ref="BO492:BO500" si="2540">IF(Q492-BM492&gt;0,Q492-BM492,0)</f>
        <v>0</v>
      </c>
      <c r="BP492" s="65">
        <f t="shared" ref="BP492:BP500" si="2541">IF(BN492+BO492&gt;0,BN492+BO492,0)</f>
        <v>0</v>
      </c>
      <c r="BQ492" s="65">
        <f t="shared" ref="BQ492:BQ500" si="2542">IF(U492=0,0,U492)</f>
        <v>0</v>
      </c>
      <c r="BR492" s="65">
        <f t="shared" ref="BR492:BR500" si="2543">IF(W492=0,0,W492)</f>
        <v>0</v>
      </c>
      <c r="BS492" s="65">
        <f t="shared" ref="BS492:BS500" si="2544">IF(BQ492+BR492&gt;0,BQ492+BR492,0)</f>
        <v>0</v>
      </c>
      <c r="BT492" s="65">
        <f t="shared" ref="BT492:BT500" si="2545">IF(V492&gt;0,V492,0)</f>
        <v>0</v>
      </c>
      <c r="BU492" s="65">
        <f t="shared" ref="BU492:BU500" si="2546">IF(BP492=0,0,BP492)</f>
        <v>0</v>
      </c>
      <c r="BV492" s="65">
        <f t="shared" ref="BV492:BV500" si="2547">IF(BS492=0,0,BS492)</f>
        <v>0</v>
      </c>
      <c r="BW492" s="65">
        <f t="shared" ref="BW492:BW500" si="2548">IF(BP492+BT492+BV492&gt;0,BP492+BT492+BV492,0)</f>
        <v>0</v>
      </c>
      <c r="BX492" s="6"/>
      <c r="BY492" s="6"/>
      <c r="BZ492" s="6"/>
      <c r="CA492" s="6"/>
      <c r="CB492" s="6"/>
      <c r="CC492" s="6"/>
      <c r="CD492" s="6"/>
      <c r="CE492" s="6"/>
      <c r="CF492" s="6"/>
      <c r="CG492" s="6"/>
    </row>
    <row r="493" spans="1:85" ht="15.75" customHeight="1">
      <c r="A493" s="68"/>
      <c r="B493" s="103"/>
      <c r="C493" s="68" t="s">
        <v>585</v>
      </c>
      <c r="D493" s="70" t="s">
        <v>631</v>
      </c>
      <c r="E493" s="99">
        <v>0</v>
      </c>
      <c r="F493" s="99">
        <v>0</v>
      </c>
      <c r="G493" s="58">
        <f t="shared" si="2532"/>
        <v>0</v>
      </c>
      <c r="H493" s="99">
        <v>0</v>
      </c>
      <c r="I493" s="59">
        <f t="shared" si="2394"/>
        <v>0</v>
      </c>
      <c r="J493" s="59">
        <f t="shared" si="2395"/>
        <v>0</v>
      </c>
      <c r="K493" s="74">
        <v>0</v>
      </c>
      <c r="L493" s="74">
        <v>0</v>
      </c>
      <c r="M493" s="74">
        <v>0</v>
      </c>
      <c r="N493" s="74">
        <v>0</v>
      </c>
      <c r="O493" s="61">
        <f t="shared" ref="O493:Q493" si="2549">AA493+AD493+AG493+AJ493+AM493+AP493+AS493+AV493+AY493+BB493+BE493+BH493</f>
        <v>0</v>
      </c>
      <c r="P493" s="61">
        <f t="shared" si="2549"/>
        <v>0</v>
      </c>
      <c r="Q493" s="61">
        <f t="shared" si="2549"/>
        <v>0</v>
      </c>
      <c r="R493" s="61">
        <f t="shared" ref="R493:T493" si="2550">IF(BK493=0,SUM(AA493+AD493+AG493+AJ493+AM493+AP493+AS493+AV493+AY493+BB493+BE493+BH493),BK493)</f>
        <v>0</v>
      </c>
      <c r="S493" s="61">
        <f t="shared" si="2550"/>
        <v>0</v>
      </c>
      <c r="T493" s="61">
        <f t="shared" si="2550"/>
        <v>0</v>
      </c>
      <c r="U493" s="63">
        <f t="shared" si="2535"/>
        <v>0</v>
      </c>
      <c r="V493" s="63">
        <f t="shared" si="2536"/>
        <v>0</v>
      </c>
      <c r="W493" s="63">
        <f t="shared" si="2537"/>
        <v>0</v>
      </c>
      <c r="X493" s="64">
        <f t="shared" ref="X493:Y493" si="2551">IF(O493&gt;0,O493/K493,0)</f>
        <v>0</v>
      </c>
      <c r="Y493" s="64">
        <f t="shared" si="2551"/>
        <v>0</v>
      </c>
      <c r="Z493" s="64">
        <f t="shared" si="2399"/>
        <v>0</v>
      </c>
      <c r="AA493" s="65"/>
      <c r="AB493" s="65"/>
      <c r="AC493" s="65"/>
      <c r="AD493" s="65"/>
      <c r="AE493" s="66"/>
      <c r="AF493" s="66"/>
      <c r="AG493" s="66"/>
      <c r="AH493" s="66"/>
      <c r="AI493" s="65"/>
      <c r="AJ493" s="65"/>
      <c r="AK493" s="65"/>
      <c r="AL493" s="65"/>
      <c r="AM493" s="65"/>
      <c r="AN493" s="65"/>
      <c r="AO493" s="65"/>
      <c r="AP493" s="65"/>
      <c r="AQ493" s="65"/>
      <c r="AR493" s="65"/>
      <c r="AS493" s="65"/>
      <c r="AT493" s="65"/>
      <c r="AU493" s="65"/>
      <c r="AV493" s="65"/>
      <c r="AW493" s="65"/>
      <c r="AX493" s="65"/>
      <c r="AY493" s="65"/>
      <c r="AZ493" s="65"/>
      <c r="BA493" s="65"/>
      <c r="BB493" s="65"/>
      <c r="BC493" s="65"/>
      <c r="BD493" s="65"/>
      <c r="BE493" s="65"/>
      <c r="BF493" s="65"/>
      <c r="BG493" s="65"/>
      <c r="BH493" s="65"/>
      <c r="BI493" s="65"/>
      <c r="BJ493" s="65"/>
      <c r="BK493" s="65">
        <v>0</v>
      </c>
      <c r="BL493" s="65">
        <v>0</v>
      </c>
      <c r="BM493" s="65">
        <v>0</v>
      </c>
      <c r="BN493" s="65">
        <f t="shared" si="2539"/>
        <v>0</v>
      </c>
      <c r="BO493" s="67">
        <f t="shared" si="2540"/>
        <v>0</v>
      </c>
      <c r="BP493" s="65">
        <f t="shared" si="2541"/>
        <v>0</v>
      </c>
      <c r="BQ493" s="65">
        <f t="shared" si="2542"/>
        <v>0</v>
      </c>
      <c r="BR493" s="65">
        <f t="shared" si="2543"/>
        <v>0</v>
      </c>
      <c r="BS493" s="65">
        <f t="shared" si="2544"/>
        <v>0</v>
      </c>
      <c r="BT493" s="65">
        <f t="shared" si="2545"/>
        <v>0</v>
      </c>
      <c r="BU493" s="65">
        <f t="shared" si="2546"/>
        <v>0</v>
      </c>
      <c r="BV493" s="65">
        <f t="shared" si="2547"/>
        <v>0</v>
      </c>
      <c r="BW493" s="65">
        <f t="shared" si="2548"/>
        <v>0</v>
      </c>
      <c r="BX493" s="6"/>
      <c r="BY493" s="6"/>
      <c r="BZ493" s="6"/>
      <c r="CA493" s="6"/>
      <c r="CB493" s="6"/>
      <c r="CC493" s="6"/>
      <c r="CD493" s="6"/>
      <c r="CE493" s="6"/>
      <c r="CF493" s="6"/>
      <c r="CG493" s="6"/>
    </row>
    <row r="494" spans="1:85" ht="15.75" customHeight="1">
      <c r="A494" s="68"/>
      <c r="B494" s="68" t="s">
        <v>632</v>
      </c>
      <c r="C494" s="68" t="s">
        <v>585</v>
      </c>
      <c r="D494" s="70" t="s">
        <v>631</v>
      </c>
      <c r="E494" s="99">
        <v>0</v>
      </c>
      <c r="F494" s="99">
        <v>0</v>
      </c>
      <c r="G494" s="58">
        <f t="shared" si="2532"/>
        <v>0</v>
      </c>
      <c r="H494" s="99">
        <v>0</v>
      </c>
      <c r="I494" s="59">
        <f t="shared" si="2394"/>
        <v>0</v>
      </c>
      <c r="J494" s="59">
        <f t="shared" si="2395"/>
        <v>0</v>
      </c>
      <c r="K494" s="74">
        <v>0</v>
      </c>
      <c r="L494" s="100">
        <v>212</v>
      </c>
      <c r="M494" s="74">
        <v>0</v>
      </c>
      <c r="N494" s="74">
        <v>0</v>
      </c>
      <c r="O494" s="61">
        <f t="shared" ref="O494:Q494" si="2552">AA494+AD494+AG494+AJ494+AM494+AP494+AS494+AV494+AY494+BB494+BE494+BH494</f>
        <v>0</v>
      </c>
      <c r="P494" s="61">
        <f t="shared" si="2552"/>
        <v>212</v>
      </c>
      <c r="Q494" s="61">
        <f t="shared" si="2552"/>
        <v>0</v>
      </c>
      <c r="R494" s="61">
        <f t="shared" ref="R494:T494" si="2553">IF(BK494=0,SUM(AA494+AD494+AG494+AJ494+AM494+AP494+AS494+AV494+AY494+BB494+BE494+BH494),BK494)</f>
        <v>0</v>
      </c>
      <c r="S494" s="61">
        <f t="shared" si="2553"/>
        <v>212</v>
      </c>
      <c r="T494" s="61">
        <f t="shared" si="2553"/>
        <v>0</v>
      </c>
      <c r="U494" s="63">
        <f t="shared" si="2535"/>
        <v>0</v>
      </c>
      <c r="V494" s="63">
        <f t="shared" si="2536"/>
        <v>0</v>
      </c>
      <c r="W494" s="208">
        <f t="shared" si="2537"/>
        <v>0</v>
      </c>
      <c r="X494" s="64">
        <f t="shared" ref="X494:Y494" si="2554">IF(O494&gt;0,O494/K494,0)</f>
        <v>0</v>
      </c>
      <c r="Y494" s="64">
        <f t="shared" si="2554"/>
        <v>1</v>
      </c>
      <c r="Z494" s="64">
        <f t="shared" si="2399"/>
        <v>0</v>
      </c>
      <c r="AA494" s="65"/>
      <c r="AB494" s="65"/>
      <c r="AC494" s="65"/>
      <c r="AD494" s="65"/>
      <c r="AE494" s="66"/>
      <c r="AF494" s="66"/>
      <c r="AG494" s="66"/>
      <c r="AH494" s="113">
        <v>212</v>
      </c>
      <c r="AI494" s="65"/>
      <c r="AJ494" s="65"/>
      <c r="AK494" s="65"/>
      <c r="AL494" s="65"/>
      <c r="AM494" s="65"/>
      <c r="AN494" s="65"/>
      <c r="AO494" s="65"/>
      <c r="AP494" s="65"/>
      <c r="AQ494" s="65"/>
      <c r="AR494" s="65"/>
      <c r="AS494" s="65"/>
      <c r="AT494" s="65"/>
      <c r="AU494" s="65"/>
      <c r="AV494" s="65"/>
      <c r="AW494" s="65"/>
      <c r="AX494" s="65"/>
      <c r="AY494" s="65"/>
      <c r="AZ494" s="65"/>
      <c r="BA494" s="65"/>
      <c r="BB494" s="65"/>
      <c r="BC494" s="65"/>
      <c r="BD494" s="65"/>
      <c r="BE494" s="65"/>
      <c r="BF494" s="65"/>
      <c r="BG494" s="65"/>
      <c r="BH494" s="65"/>
      <c r="BI494" s="65"/>
      <c r="BJ494" s="65"/>
      <c r="BK494" s="65">
        <v>0</v>
      </c>
      <c r="BL494" s="65">
        <v>0</v>
      </c>
      <c r="BM494" s="65">
        <v>0</v>
      </c>
      <c r="BN494" s="65">
        <f t="shared" si="2539"/>
        <v>0</v>
      </c>
      <c r="BO494" s="67">
        <f t="shared" si="2540"/>
        <v>0</v>
      </c>
      <c r="BP494" s="65">
        <f t="shared" si="2541"/>
        <v>0</v>
      </c>
      <c r="BQ494" s="65">
        <f t="shared" si="2542"/>
        <v>0</v>
      </c>
      <c r="BR494" s="65">
        <f t="shared" si="2543"/>
        <v>0</v>
      </c>
      <c r="BS494" s="65">
        <f t="shared" si="2544"/>
        <v>0</v>
      </c>
      <c r="BT494" s="65">
        <f t="shared" si="2545"/>
        <v>0</v>
      </c>
      <c r="BU494" s="65">
        <f t="shared" si="2546"/>
        <v>0</v>
      </c>
      <c r="BV494" s="65">
        <f t="shared" si="2547"/>
        <v>0</v>
      </c>
      <c r="BW494" s="65">
        <f t="shared" si="2548"/>
        <v>0</v>
      </c>
      <c r="BX494" s="6"/>
      <c r="BY494" s="6"/>
      <c r="BZ494" s="6"/>
      <c r="CA494" s="6"/>
      <c r="CB494" s="6"/>
      <c r="CC494" s="6"/>
      <c r="CD494" s="6"/>
      <c r="CE494" s="6"/>
      <c r="CF494" s="6"/>
      <c r="CG494" s="6"/>
    </row>
    <row r="495" spans="1:85" ht="15.75" customHeight="1">
      <c r="A495" s="68"/>
      <c r="B495" s="68" t="s">
        <v>633</v>
      </c>
      <c r="C495" s="68" t="s">
        <v>585</v>
      </c>
      <c r="D495" s="70" t="s">
        <v>631</v>
      </c>
      <c r="E495" s="99">
        <v>0</v>
      </c>
      <c r="F495" s="99">
        <v>0</v>
      </c>
      <c r="G495" s="58">
        <f t="shared" si="2532"/>
        <v>0</v>
      </c>
      <c r="H495" s="99">
        <v>0</v>
      </c>
      <c r="I495" s="59">
        <f t="shared" si="2394"/>
        <v>0</v>
      </c>
      <c r="J495" s="59">
        <f t="shared" si="2395"/>
        <v>0</v>
      </c>
      <c r="K495" s="74">
        <v>0</v>
      </c>
      <c r="L495" s="100">
        <v>62982.400000000001</v>
      </c>
      <c r="M495" s="74">
        <v>0</v>
      </c>
      <c r="N495" s="74">
        <v>0</v>
      </c>
      <c r="O495" s="61">
        <f t="shared" ref="O495:Q495" si="2555">AA495+AD495+AG495+AJ495+AM495+AP495+AS495+AV495+AY495+BB495+BE495+BH495</f>
        <v>0</v>
      </c>
      <c r="P495" s="61">
        <f t="shared" si="2555"/>
        <v>48439.1</v>
      </c>
      <c r="Q495" s="61">
        <f t="shared" si="2555"/>
        <v>0</v>
      </c>
      <c r="R495" s="61">
        <f t="shared" ref="R495:T495" si="2556">IF(BK495=0,SUM(AA495+AD495+AG495+AJ495+AM495+AP495+AS495+AV495+AY495+BB495+BE495+BH495),BK495)</f>
        <v>0</v>
      </c>
      <c r="S495" s="61">
        <f t="shared" si="2556"/>
        <v>48439.1</v>
      </c>
      <c r="T495" s="61">
        <f t="shared" si="2556"/>
        <v>0</v>
      </c>
      <c r="U495" s="63">
        <f t="shared" si="2535"/>
        <v>0</v>
      </c>
      <c r="V495" s="62">
        <f t="shared" si="2536"/>
        <v>14543.300000000003</v>
      </c>
      <c r="W495" s="208">
        <f t="shared" si="2537"/>
        <v>0</v>
      </c>
      <c r="X495" s="64">
        <f t="shared" ref="X495:Y495" si="2557">IF(O495&gt;0,O495/K495,0)</f>
        <v>0</v>
      </c>
      <c r="Y495" s="64">
        <f t="shared" si="2557"/>
        <v>0.76908945991261046</v>
      </c>
      <c r="Z495" s="64">
        <f t="shared" si="2399"/>
        <v>0</v>
      </c>
      <c r="AA495" s="65"/>
      <c r="AB495" s="65"/>
      <c r="AC495" s="65"/>
      <c r="AD495" s="65"/>
      <c r="AE495" s="66"/>
      <c r="AF495" s="66"/>
      <c r="AG495" s="66"/>
      <c r="AH495" s="66">
        <f>5799</f>
        <v>5799</v>
      </c>
      <c r="AI495" s="65"/>
      <c r="AJ495" s="65"/>
      <c r="AK495" s="65">
        <f>4702.8+6199.9+5116.2</f>
        <v>16018.900000000001</v>
      </c>
      <c r="AL495" s="65"/>
      <c r="AM495" s="65"/>
      <c r="AN495" s="65">
        <f>6993.3+6516.6+7514.7</f>
        <v>21024.600000000002</v>
      </c>
      <c r="AO495" s="65"/>
      <c r="AP495" s="65"/>
      <c r="AQ495" s="100">
        <v>5596.6</v>
      </c>
      <c r="AR495" s="65"/>
      <c r="AS495" s="65"/>
      <c r="AT495" s="65"/>
      <c r="AU495" s="65"/>
      <c r="AV495" s="65"/>
      <c r="AW495" s="65"/>
      <c r="AX495" s="65"/>
      <c r="AY495" s="65"/>
      <c r="AZ495" s="65"/>
      <c r="BA495" s="65"/>
      <c r="BB495" s="65"/>
      <c r="BC495" s="65"/>
      <c r="BD495" s="65"/>
      <c r="BE495" s="65"/>
      <c r="BF495" s="65"/>
      <c r="BG495" s="65"/>
      <c r="BH495" s="65"/>
      <c r="BI495" s="65"/>
      <c r="BJ495" s="65"/>
      <c r="BK495" s="65">
        <v>0</v>
      </c>
      <c r="BL495" s="65">
        <v>0</v>
      </c>
      <c r="BM495" s="65">
        <v>0</v>
      </c>
      <c r="BN495" s="65">
        <f t="shared" si="2539"/>
        <v>0</v>
      </c>
      <c r="BO495" s="67">
        <f t="shared" si="2540"/>
        <v>0</v>
      </c>
      <c r="BP495" s="65">
        <f t="shared" si="2541"/>
        <v>0</v>
      </c>
      <c r="BQ495" s="65">
        <f t="shared" si="2542"/>
        <v>0</v>
      </c>
      <c r="BR495" s="65">
        <f t="shared" si="2543"/>
        <v>0</v>
      </c>
      <c r="BS495" s="65">
        <f t="shared" si="2544"/>
        <v>0</v>
      </c>
      <c r="BT495" s="65">
        <f t="shared" si="2545"/>
        <v>14543.300000000003</v>
      </c>
      <c r="BU495" s="65">
        <f t="shared" si="2546"/>
        <v>0</v>
      </c>
      <c r="BV495" s="65">
        <f t="shared" si="2547"/>
        <v>0</v>
      </c>
      <c r="BW495" s="65">
        <f t="shared" si="2548"/>
        <v>14543.300000000003</v>
      </c>
      <c r="BX495" s="6"/>
      <c r="BY495" s="6"/>
      <c r="BZ495" s="6"/>
      <c r="CA495" s="6"/>
      <c r="CB495" s="6"/>
      <c r="CC495" s="6"/>
      <c r="CD495" s="6"/>
      <c r="CE495" s="6"/>
      <c r="CF495" s="6"/>
      <c r="CG495" s="6"/>
    </row>
    <row r="496" spans="1:85" ht="15.75" customHeight="1">
      <c r="A496" s="68"/>
      <c r="B496" s="68" t="s">
        <v>634</v>
      </c>
      <c r="C496" s="68" t="s">
        <v>585</v>
      </c>
      <c r="D496" s="70" t="s">
        <v>631</v>
      </c>
      <c r="E496" s="99">
        <v>0</v>
      </c>
      <c r="F496" s="99">
        <v>0</v>
      </c>
      <c r="G496" s="58">
        <f t="shared" si="2532"/>
        <v>0</v>
      </c>
      <c r="H496" s="99">
        <v>0</v>
      </c>
      <c r="I496" s="59">
        <f t="shared" si="2394"/>
        <v>0</v>
      </c>
      <c r="J496" s="59">
        <f t="shared" si="2395"/>
        <v>0</v>
      </c>
      <c r="K496" s="74">
        <v>0</v>
      </c>
      <c r="L496" s="100">
        <v>3150</v>
      </c>
      <c r="M496" s="74">
        <v>0</v>
      </c>
      <c r="N496" s="74">
        <v>0</v>
      </c>
      <c r="O496" s="61">
        <f t="shared" ref="O496:Q496" si="2558">AA496+AD496+AG496+AJ496+AM496+AP496+AS496+AV496+AY496+BB496+BE496+BH496</f>
        <v>0</v>
      </c>
      <c r="P496" s="61">
        <f t="shared" si="2558"/>
        <v>3149.6</v>
      </c>
      <c r="Q496" s="61">
        <f t="shared" si="2558"/>
        <v>0</v>
      </c>
      <c r="R496" s="61">
        <f t="shared" ref="R496:T496" si="2559">IF(BK496=0,SUM(AA496+AD496+AG496+AJ496+AM496+AP496+AS496+AV496+AY496+BB496+BE496+BH496),BK496)</f>
        <v>0</v>
      </c>
      <c r="S496" s="61">
        <f t="shared" si="2559"/>
        <v>3149.6</v>
      </c>
      <c r="T496" s="61">
        <f t="shared" si="2559"/>
        <v>0</v>
      </c>
      <c r="U496" s="63">
        <f t="shared" si="2535"/>
        <v>0</v>
      </c>
      <c r="V496" s="62">
        <f t="shared" si="2536"/>
        <v>0.40000000000009095</v>
      </c>
      <c r="W496" s="208">
        <f t="shared" si="2537"/>
        <v>0</v>
      </c>
      <c r="X496" s="64">
        <f t="shared" ref="X496:Y496" si="2560">IF(O496&gt;0,O496/K496,0)</f>
        <v>0</v>
      </c>
      <c r="Y496" s="64">
        <f t="shared" si="2560"/>
        <v>0.9998730158730158</v>
      </c>
      <c r="Z496" s="64">
        <f t="shared" si="2399"/>
        <v>0</v>
      </c>
      <c r="AA496" s="65"/>
      <c r="AB496" s="65"/>
      <c r="AC496" s="65"/>
      <c r="AD496" s="65"/>
      <c r="AE496" s="66"/>
      <c r="AF496" s="66"/>
      <c r="AG496" s="66"/>
      <c r="AH496" s="66"/>
      <c r="AI496" s="65"/>
      <c r="AJ496" s="65"/>
      <c r="AK496" s="100">
        <v>1318</v>
      </c>
      <c r="AL496" s="65"/>
      <c r="AM496" s="65"/>
      <c r="AN496" s="65">
        <f>984.4+847.2</f>
        <v>1831.6</v>
      </c>
      <c r="AO496" s="65"/>
      <c r="AP496" s="65"/>
      <c r="AQ496" s="65"/>
      <c r="AR496" s="65"/>
      <c r="AS496" s="65"/>
      <c r="AT496" s="65"/>
      <c r="AU496" s="65"/>
      <c r="AV496" s="65"/>
      <c r="AW496" s="65"/>
      <c r="AX496" s="65"/>
      <c r="AY496" s="65"/>
      <c r="AZ496" s="65"/>
      <c r="BA496" s="65"/>
      <c r="BB496" s="65"/>
      <c r="BC496" s="65"/>
      <c r="BD496" s="65"/>
      <c r="BE496" s="65"/>
      <c r="BF496" s="65"/>
      <c r="BG496" s="65"/>
      <c r="BH496" s="65"/>
      <c r="BI496" s="65"/>
      <c r="BJ496" s="65"/>
      <c r="BK496" s="65">
        <v>0</v>
      </c>
      <c r="BL496" s="65">
        <v>0</v>
      </c>
      <c r="BM496" s="65">
        <v>0</v>
      </c>
      <c r="BN496" s="65">
        <f t="shared" si="2539"/>
        <v>0</v>
      </c>
      <c r="BO496" s="67">
        <f t="shared" si="2540"/>
        <v>0</v>
      </c>
      <c r="BP496" s="65">
        <f t="shared" si="2541"/>
        <v>0</v>
      </c>
      <c r="BQ496" s="65">
        <f t="shared" si="2542"/>
        <v>0</v>
      </c>
      <c r="BR496" s="65">
        <f t="shared" si="2543"/>
        <v>0</v>
      </c>
      <c r="BS496" s="65">
        <f t="shared" si="2544"/>
        <v>0</v>
      </c>
      <c r="BT496" s="65">
        <f t="shared" si="2545"/>
        <v>0.40000000000009095</v>
      </c>
      <c r="BU496" s="65">
        <f t="shared" si="2546"/>
        <v>0</v>
      </c>
      <c r="BV496" s="65">
        <f t="shared" si="2547"/>
        <v>0</v>
      </c>
      <c r="BW496" s="65">
        <f t="shared" si="2548"/>
        <v>0.40000000000009095</v>
      </c>
      <c r="BX496" s="6"/>
      <c r="BY496" s="6"/>
      <c r="BZ496" s="6"/>
      <c r="CA496" s="6"/>
      <c r="CB496" s="6"/>
      <c r="CC496" s="6"/>
      <c r="CD496" s="6"/>
      <c r="CE496" s="6"/>
      <c r="CF496" s="6"/>
      <c r="CG496" s="6"/>
    </row>
    <row r="497" spans="1:85" ht="15.75" customHeight="1">
      <c r="A497" s="68"/>
      <c r="B497" s="68" t="s">
        <v>635</v>
      </c>
      <c r="C497" s="68" t="s">
        <v>585</v>
      </c>
      <c r="D497" s="70" t="s">
        <v>631</v>
      </c>
      <c r="E497" s="99">
        <v>0</v>
      </c>
      <c r="F497" s="99">
        <v>0</v>
      </c>
      <c r="G497" s="58">
        <f t="shared" si="2532"/>
        <v>0</v>
      </c>
      <c r="H497" s="99">
        <v>0</v>
      </c>
      <c r="I497" s="59">
        <f t="shared" si="2394"/>
        <v>0</v>
      </c>
      <c r="J497" s="59">
        <f t="shared" si="2395"/>
        <v>0</v>
      </c>
      <c r="K497" s="74">
        <v>0</v>
      </c>
      <c r="L497" s="100">
        <v>1069.2</v>
      </c>
      <c r="M497" s="74">
        <v>0</v>
      </c>
      <c r="N497" s="74">
        <v>0</v>
      </c>
      <c r="O497" s="61">
        <f t="shared" ref="O497:Q497" si="2561">AA497+AD497+AG497+AJ497+AM497+AP497+AS497+AV497+AY497+BB497+BE497+BH497</f>
        <v>0</v>
      </c>
      <c r="P497" s="61">
        <f t="shared" si="2561"/>
        <v>0</v>
      </c>
      <c r="Q497" s="61">
        <f t="shared" si="2561"/>
        <v>0</v>
      </c>
      <c r="R497" s="61">
        <f t="shared" ref="R497:T497" si="2562">IF(BK497=0,SUM(AA497+AD497+AG497+AJ497+AM497+AP497+AS497+AV497+AY497+BB497+BE497+BH497),BK497)</f>
        <v>0</v>
      </c>
      <c r="S497" s="61">
        <f t="shared" si="2562"/>
        <v>0</v>
      </c>
      <c r="T497" s="61">
        <f t="shared" si="2562"/>
        <v>0</v>
      </c>
      <c r="U497" s="63">
        <f t="shared" si="2535"/>
        <v>0</v>
      </c>
      <c r="V497" s="62">
        <f t="shared" si="2536"/>
        <v>1069.2</v>
      </c>
      <c r="W497" s="208">
        <f t="shared" si="2537"/>
        <v>0</v>
      </c>
      <c r="X497" s="64">
        <f t="shared" ref="X497:Y497" si="2563">IF(O497&gt;0,O497/K497,0)</f>
        <v>0</v>
      </c>
      <c r="Y497" s="64">
        <f t="shared" si="2563"/>
        <v>0</v>
      </c>
      <c r="Z497" s="64">
        <f t="shared" si="2399"/>
        <v>0</v>
      </c>
      <c r="AA497" s="65"/>
      <c r="AB497" s="65"/>
      <c r="AC497" s="65"/>
      <c r="AD497" s="65"/>
      <c r="AE497" s="66"/>
      <c r="AF497" s="66"/>
      <c r="AG497" s="66"/>
      <c r="AH497" s="66"/>
      <c r="AI497" s="65"/>
      <c r="AJ497" s="65"/>
      <c r="AK497" s="65"/>
      <c r="AL497" s="65"/>
      <c r="AM497" s="65"/>
      <c r="AN497" s="65"/>
      <c r="AO497" s="65"/>
      <c r="AP497" s="65"/>
      <c r="AQ497" s="65"/>
      <c r="AR497" s="65"/>
      <c r="AS497" s="65"/>
      <c r="AT497" s="65"/>
      <c r="AU497" s="65"/>
      <c r="AV497" s="65"/>
      <c r="AW497" s="65"/>
      <c r="AX497" s="65"/>
      <c r="AY497" s="65"/>
      <c r="AZ497" s="65"/>
      <c r="BA497" s="65"/>
      <c r="BB497" s="65"/>
      <c r="BC497" s="65"/>
      <c r="BD497" s="65"/>
      <c r="BE497" s="65"/>
      <c r="BF497" s="65"/>
      <c r="BG497" s="65"/>
      <c r="BH497" s="65"/>
      <c r="BI497" s="65"/>
      <c r="BJ497" s="65"/>
      <c r="BK497" s="65">
        <v>0</v>
      </c>
      <c r="BL497" s="65">
        <v>0</v>
      </c>
      <c r="BM497" s="65">
        <v>0</v>
      </c>
      <c r="BN497" s="65">
        <f t="shared" si="2539"/>
        <v>0</v>
      </c>
      <c r="BO497" s="67">
        <f t="shared" si="2540"/>
        <v>0</v>
      </c>
      <c r="BP497" s="65">
        <f t="shared" si="2541"/>
        <v>0</v>
      </c>
      <c r="BQ497" s="65">
        <f t="shared" si="2542"/>
        <v>0</v>
      </c>
      <c r="BR497" s="65">
        <f t="shared" si="2543"/>
        <v>0</v>
      </c>
      <c r="BS497" s="65">
        <f t="shared" si="2544"/>
        <v>0</v>
      </c>
      <c r="BT497" s="65">
        <f t="shared" si="2545"/>
        <v>1069.2</v>
      </c>
      <c r="BU497" s="65">
        <f t="shared" si="2546"/>
        <v>0</v>
      </c>
      <c r="BV497" s="65">
        <f t="shared" si="2547"/>
        <v>0</v>
      </c>
      <c r="BW497" s="65">
        <f t="shared" si="2548"/>
        <v>1069.2</v>
      </c>
      <c r="BX497" s="6"/>
      <c r="BY497" s="6"/>
      <c r="BZ497" s="6"/>
      <c r="CA497" s="6"/>
      <c r="CB497" s="6"/>
      <c r="CC497" s="6"/>
      <c r="CD497" s="6"/>
      <c r="CE497" s="6"/>
      <c r="CF497" s="6"/>
      <c r="CG497" s="6"/>
    </row>
    <row r="498" spans="1:85" ht="15.75" customHeight="1">
      <c r="A498" s="121"/>
      <c r="B498" s="121" t="s">
        <v>636</v>
      </c>
      <c r="C498" s="68" t="s">
        <v>585</v>
      </c>
      <c r="D498" s="70" t="s">
        <v>637</v>
      </c>
      <c r="E498" s="99">
        <v>0</v>
      </c>
      <c r="F498" s="99">
        <v>0</v>
      </c>
      <c r="G498" s="58">
        <f t="shared" si="2532"/>
        <v>0</v>
      </c>
      <c r="H498" s="99">
        <v>0</v>
      </c>
      <c r="I498" s="59">
        <f t="shared" si="2394"/>
        <v>0</v>
      </c>
      <c r="J498" s="59">
        <f t="shared" si="2395"/>
        <v>0</v>
      </c>
      <c r="K498" s="74">
        <v>0</v>
      </c>
      <c r="L498" s="100">
        <v>2846.2</v>
      </c>
      <c r="M498" s="74">
        <v>0</v>
      </c>
      <c r="N498" s="74">
        <v>0</v>
      </c>
      <c r="O498" s="61">
        <f t="shared" ref="O498:Q498" si="2564">AA498+AD498+AG498+AJ498+AM498+AP498+AS498+AV498+AY498+BB498+BE498+BH498</f>
        <v>0</v>
      </c>
      <c r="P498" s="61">
        <f t="shared" si="2564"/>
        <v>2846.2</v>
      </c>
      <c r="Q498" s="61">
        <f t="shared" si="2564"/>
        <v>0</v>
      </c>
      <c r="R498" s="61">
        <f t="shared" ref="R498:T498" si="2565">IF(BK498=0,SUM(AA498+AD498+AG498+AJ498+AM498+AP498+AS498+AV498+AY498+BB498+BE498+BH498),BK498)</f>
        <v>0</v>
      </c>
      <c r="S498" s="61">
        <f t="shared" si="2565"/>
        <v>2846.2</v>
      </c>
      <c r="T498" s="61">
        <f t="shared" si="2565"/>
        <v>0</v>
      </c>
      <c r="U498" s="63">
        <f t="shared" si="2535"/>
        <v>0</v>
      </c>
      <c r="V498" s="63">
        <f t="shared" si="2536"/>
        <v>0</v>
      </c>
      <c r="W498" s="208">
        <f t="shared" si="2537"/>
        <v>0</v>
      </c>
      <c r="X498" s="64">
        <f t="shared" ref="X498:Y498" si="2566">IF(O498&gt;0,O498/K498,0)</f>
        <v>0</v>
      </c>
      <c r="Y498" s="64">
        <f t="shared" si="2566"/>
        <v>1</v>
      </c>
      <c r="Z498" s="64">
        <f t="shared" si="2399"/>
        <v>0</v>
      </c>
      <c r="AA498" s="65"/>
      <c r="AB498" s="65"/>
      <c r="AC498" s="65"/>
      <c r="AD498" s="65"/>
      <c r="AE498" s="113">
        <v>1669.2</v>
      </c>
      <c r="AF498" s="66"/>
      <c r="AG498" s="66"/>
      <c r="AH498" s="66"/>
      <c r="AI498" s="65"/>
      <c r="AJ498" s="65"/>
      <c r="AK498" s="65"/>
      <c r="AL498" s="65"/>
      <c r="AM498" s="65"/>
      <c r="AN498" s="65"/>
      <c r="AO498" s="65"/>
      <c r="AP498" s="65"/>
      <c r="AQ498" s="65">
        <f>1177</f>
        <v>1177</v>
      </c>
      <c r="AR498" s="65"/>
      <c r="AS498" s="65"/>
      <c r="AT498" s="65"/>
      <c r="AU498" s="65"/>
      <c r="AV498" s="65"/>
      <c r="AW498" s="65"/>
      <c r="AX498" s="65"/>
      <c r="AY498" s="65"/>
      <c r="AZ498" s="65"/>
      <c r="BA498" s="65"/>
      <c r="BB498" s="65"/>
      <c r="BC498" s="65"/>
      <c r="BD498" s="65"/>
      <c r="BE498" s="65"/>
      <c r="BF498" s="65"/>
      <c r="BG498" s="65"/>
      <c r="BH498" s="65"/>
      <c r="BI498" s="65"/>
      <c r="BJ498" s="65"/>
      <c r="BK498" s="65">
        <v>0</v>
      </c>
      <c r="BL498" s="65">
        <v>0</v>
      </c>
      <c r="BM498" s="65">
        <v>0</v>
      </c>
      <c r="BN498" s="65">
        <f t="shared" si="2539"/>
        <v>0</v>
      </c>
      <c r="BO498" s="67">
        <f t="shared" si="2540"/>
        <v>0</v>
      </c>
      <c r="BP498" s="65">
        <f t="shared" si="2541"/>
        <v>0</v>
      </c>
      <c r="BQ498" s="65">
        <f t="shared" si="2542"/>
        <v>0</v>
      </c>
      <c r="BR498" s="65">
        <f t="shared" si="2543"/>
        <v>0</v>
      </c>
      <c r="BS498" s="65">
        <f t="shared" si="2544"/>
        <v>0</v>
      </c>
      <c r="BT498" s="65">
        <f t="shared" si="2545"/>
        <v>0</v>
      </c>
      <c r="BU498" s="65">
        <f t="shared" si="2546"/>
        <v>0</v>
      </c>
      <c r="BV498" s="65">
        <f t="shared" si="2547"/>
        <v>0</v>
      </c>
      <c r="BW498" s="65">
        <f t="shared" si="2548"/>
        <v>0</v>
      </c>
      <c r="BX498" s="6"/>
      <c r="BY498" s="6"/>
      <c r="BZ498" s="6"/>
      <c r="CA498" s="6"/>
      <c r="CB498" s="6"/>
      <c r="CC498" s="6"/>
      <c r="CD498" s="6"/>
      <c r="CE498" s="6"/>
      <c r="CF498" s="6"/>
      <c r="CG498" s="6"/>
    </row>
    <row r="499" spans="1:85" ht="15.75" customHeight="1">
      <c r="A499" s="121"/>
      <c r="B499" s="169"/>
      <c r="C499" s="68" t="s">
        <v>585</v>
      </c>
      <c r="D499" s="70" t="s">
        <v>638</v>
      </c>
      <c r="E499" s="99">
        <v>0</v>
      </c>
      <c r="F499" s="99">
        <v>0</v>
      </c>
      <c r="G499" s="58">
        <f t="shared" si="2532"/>
        <v>0</v>
      </c>
      <c r="H499" s="99">
        <v>0</v>
      </c>
      <c r="I499" s="59">
        <f t="shared" si="2394"/>
        <v>0</v>
      </c>
      <c r="J499" s="59">
        <f t="shared" si="2395"/>
        <v>0</v>
      </c>
      <c r="K499" s="74">
        <v>0</v>
      </c>
      <c r="L499" s="74">
        <v>0</v>
      </c>
      <c r="M499" s="74">
        <v>0</v>
      </c>
      <c r="N499" s="74">
        <v>0</v>
      </c>
      <c r="O499" s="61">
        <f t="shared" ref="O499:Q499" si="2567">AA499+AD499+AG499+AJ499+AM499+AP499+AS499+AV499+AY499+BB499+BE499+BH499</f>
        <v>0</v>
      </c>
      <c r="P499" s="61">
        <f t="shared" si="2567"/>
        <v>0</v>
      </c>
      <c r="Q499" s="61">
        <f t="shared" si="2567"/>
        <v>0</v>
      </c>
      <c r="R499" s="61">
        <f t="shared" ref="R499:T499" si="2568">IF(BK499=0,SUM(AA499+AD499+AG499+AJ499+AM499+AP499+AS499+AV499+AY499+BB499+BE499+BH499),BK499)</f>
        <v>0</v>
      </c>
      <c r="S499" s="61">
        <f t="shared" si="2568"/>
        <v>0</v>
      </c>
      <c r="T499" s="61">
        <f t="shared" si="2568"/>
        <v>0</v>
      </c>
      <c r="U499" s="63">
        <f t="shared" si="2535"/>
        <v>0</v>
      </c>
      <c r="V499" s="63">
        <f t="shared" si="2536"/>
        <v>0</v>
      </c>
      <c r="W499" s="208">
        <f t="shared" si="2537"/>
        <v>0</v>
      </c>
      <c r="X499" s="64">
        <f t="shared" ref="X499:Y499" si="2569">IF(O499&gt;0,O499/K499,0)</f>
        <v>0</v>
      </c>
      <c r="Y499" s="64">
        <f t="shared" si="2569"/>
        <v>0</v>
      </c>
      <c r="Z499" s="64">
        <f t="shared" si="2399"/>
        <v>0</v>
      </c>
      <c r="AA499" s="65"/>
      <c r="AB499" s="65"/>
      <c r="AC499" s="65"/>
      <c r="AD499" s="65"/>
      <c r="AE499" s="66"/>
      <c r="AF499" s="66"/>
      <c r="AG499" s="66"/>
      <c r="AH499" s="66"/>
      <c r="AI499" s="65"/>
      <c r="AJ499" s="65"/>
      <c r="AK499" s="65"/>
      <c r="AL499" s="65"/>
      <c r="AM499" s="65"/>
      <c r="AN499" s="65"/>
      <c r="AO499" s="65"/>
      <c r="AP499" s="65"/>
      <c r="AQ499" s="65"/>
      <c r="AR499" s="65"/>
      <c r="AS499" s="65"/>
      <c r="AT499" s="65"/>
      <c r="AU499" s="65"/>
      <c r="AV499" s="65"/>
      <c r="AW499" s="65"/>
      <c r="AX499" s="65"/>
      <c r="AY499" s="65"/>
      <c r="AZ499" s="65"/>
      <c r="BA499" s="65"/>
      <c r="BB499" s="65"/>
      <c r="BC499" s="65"/>
      <c r="BD499" s="65"/>
      <c r="BE499" s="65"/>
      <c r="BF499" s="65"/>
      <c r="BG499" s="65"/>
      <c r="BH499" s="65"/>
      <c r="BI499" s="65"/>
      <c r="BJ499" s="65"/>
      <c r="BK499" s="65">
        <v>0</v>
      </c>
      <c r="BL499" s="65">
        <v>0</v>
      </c>
      <c r="BM499" s="65">
        <v>0</v>
      </c>
      <c r="BN499" s="65">
        <f t="shared" si="2539"/>
        <v>0</v>
      </c>
      <c r="BO499" s="67">
        <f t="shared" si="2540"/>
        <v>0</v>
      </c>
      <c r="BP499" s="65">
        <f t="shared" si="2541"/>
        <v>0</v>
      </c>
      <c r="BQ499" s="65">
        <f t="shared" si="2542"/>
        <v>0</v>
      </c>
      <c r="BR499" s="65">
        <f t="shared" si="2543"/>
        <v>0</v>
      </c>
      <c r="BS499" s="65">
        <f t="shared" si="2544"/>
        <v>0</v>
      </c>
      <c r="BT499" s="65">
        <f t="shared" si="2545"/>
        <v>0</v>
      </c>
      <c r="BU499" s="65">
        <f t="shared" si="2546"/>
        <v>0</v>
      </c>
      <c r="BV499" s="65">
        <f t="shared" si="2547"/>
        <v>0</v>
      </c>
      <c r="BW499" s="65">
        <f t="shared" si="2548"/>
        <v>0</v>
      </c>
      <c r="BX499" s="6"/>
      <c r="BY499" s="6"/>
      <c r="BZ499" s="6"/>
      <c r="CA499" s="6"/>
      <c r="CB499" s="6"/>
      <c r="CC499" s="6"/>
      <c r="CD499" s="6"/>
      <c r="CE499" s="6"/>
      <c r="CF499" s="6"/>
      <c r="CG499" s="6"/>
    </row>
    <row r="500" spans="1:85" ht="15.75" customHeight="1">
      <c r="A500" s="119"/>
      <c r="B500" s="207"/>
      <c r="C500" s="71" t="s">
        <v>585</v>
      </c>
      <c r="D500" s="73" t="s">
        <v>639</v>
      </c>
      <c r="E500" s="99">
        <v>0</v>
      </c>
      <c r="F500" s="99">
        <v>0</v>
      </c>
      <c r="G500" s="58">
        <f t="shared" si="2532"/>
        <v>0</v>
      </c>
      <c r="H500" s="99">
        <v>0</v>
      </c>
      <c r="I500" s="59">
        <f t="shared" si="2394"/>
        <v>0</v>
      </c>
      <c r="J500" s="59">
        <f t="shared" si="2395"/>
        <v>0</v>
      </c>
      <c r="K500" s="74">
        <v>0</v>
      </c>
      <c r="L500" s="74">
        <v>0</v>
      </c>
      <c r="M500" s="74">
        <v>0</v>
      </c>
      <c r="N500" s="74">
        <v>0</v>
      </c>
      <c r="O500" s="61">
        <f t="shared" ref="O500:Q500" si="2570">AA500+AD500+AG500+AJ500+AM500+AP500+AS500+AV500+AY500+BB500+BE500+BH500</f>
        <v>0</v>
      </c>
      <c r="P500" s="61">
        <f t="shared" si="2570"/>
        <v>0</v>
      </c>
      <c r="Q500" s="61">
        <f t="shared" si="2570"/>
        <v>0</v>
      </c>
      <c r="R500" s="61">
        <f t="shared" ref="R500:T500" si="2571">IF(BK500=0,SUM(AA500+AD500+AG500+AJ500+AM500+AP500+AS500+AV500+AY500+BB500+BE500+BH500),BK500)</f>
        <v>0</v>
      </c>
      <c r="S500" s="61">
        <f t="shared" si="2571"/>
        <v>0</v>
      </c>
      <c r="T500" s="61">
        <f t="shared" si="2571"/>
        <v>0</v>
      </c>
      <c r="U500" s="63">
        <f t="shared" si="2535"/>
        <v>0</v>
      </c>
      <c r="V500" s="63">
        <f t="shared" si="2536"/>
        <v>0</v>
      </c>
      <c r="W500" s="63">
        <f t="shared" si="2537"/>
        <v>0</v>
      </c>
      <c r="X500" s="64">
        <f t="shared" ref="X500:Y500" si="2572">IF(O500&gt;0,O500/K500,0)</f>
        <v>0</v>
      </c>
      <c r="Y500" s="64">
        <f t="shared" si="2572"/>
        <v>0</v>
      </c>
      <c r="Z500" s="64">
        <f t="shared" si="2399"/>
        <v>0</v>
      </c>
      <c r="AA500" s="65"/>
      <c r="AB500" s="65"/>
      <c r="AC500" s="65"/>
      <c r="AD500" s="65"/>
      <c r="AE500" s="66"/>
      <c r="AF500" s="66"/>
      <c r="AG500" s="66"/>
      <c r="AH500" s="66"/>
      <c r="AI500" s="65"/>
      <c r="AJ500" s="65"/>
      <c r="AK500" s="65"/>
      <c r="AL500" s="65"/>
      <c r="AM500" s="65"/>
      <c r="AN500" s="65"/>
      <c r="AO500" s="65"/>
      <c r="AP500" s="65"/>
      <c r="AQ500" s="65"/>
      <c r="AR500" s="65"/>
      <c r="AS500" s="65"/>
      <c r="AT500" s="65"/>
      <c r="AU500" s="65"/>
      <c r="AV500" s="65"/>
      <c r="AW500" s="65"/>
      <c r="AX500" s="65"/>
      <c r="AY500" s="65"/>
      <c r="AZ500" s="65"/>
      <c r="BA500" s="65"/>
      <c r="BB500" s="65"/>
      <c r="BC500" s="65"/>
      <c r="BD500" s="65"/>
      <c r="BE500" s="65"/>
      <c r="BF500" s="65"/>
      <c r="BG500" s="65"/>
      <c r="BH500" s="65"/>
      <c r="BI500" s="65"/>
      <c r="BJ500" s="65"/>
      <c r="BK500" s="65">
        <v>0</v>
      </c>
      <c r="BL500" s="65">
        <v>0</v>
      </c>
      <c r="BM500" s="65">
        <v>0</v>
      </c>
      <c r="BN500" s="65">
        <f t="shared" si="2539"/>
        <v>0</v>
      </c>
      <c r="BO500" s="67">
        <f t="shared" si="2540"/>
        <v>0</v>
      </c>
      <c r="BP500" s="65">
        <f t="shared" si="2541"/>
        <v>0</v>
      </c>
      <c r="BQ500" s="65">
        <f t="shared" si="2542"/>
        <v>0</v>
      </c>
      <c r="BR500" s="65">
        <f t="shared" si="2543"/>
        <v>0</v>
      </c>
      <c r="BS500" s="65">
        <f t="shared" si="2544"/>
        <v>0</v>
      </c>
      <c r="BT500" s="65">
        <f t="shared" si="2545"/>
        <v>0</v>
      </c>
      <c r="BU500" s="65">
        <f t="shared" si="2546"/>
        <v>0</v>
      </c>
      <c r="BV500" s="65">
        <f t="shared" si="2547"/>
        <v>0</v>
      </c>
      <c r="BW500" s="65">
        <f t="shared" si="2548"/>
        <v>0</v>
      </c>
      <c r="BX500" s="6"/>
      <c r="BY500" s="6"/>
      <c r="BZ500" s="6"/>
      <c r="CA500" s="6"/>
      <c r="CB500" s="6"/>
      <c r="CC500" s="6"/>
      <c r="CD500" s="6"/>
      <c r="CE500" s="6"/>
      <c r="CF500" s="6"/>
      <c r="CG500" s="6"/>
    </row>
    <row r="501" spans="1:85" ht="15.75" customHeight="1">
      <c r="A501" s="217"/>
      <c r="B501" s="361"/>
      <c r="C501" s="219"/>
      <c r="D501" s="220" t="s">
        <v>640</v>
      </c>
      <c r="E501" s="213">
        <f t="shared" ref="E501:H501" si="2573">SUM(E502:E514)</f>
        <v>0</v>
      </c>
      <c r="F501" s="213">
        <f t="shared" si="2573"/>
        <v>0</v>
      </c>
      <c r="G501" s="213">
        <f t="shared" si="2573"/>
        <v>0</v>
      </c>
      <c r="H501" s="213">
        <f t="shared" si="2573"/>
        <v>166193.20000000001</v>
      </c>
      <c r="I501" s="215">
        <f t="shared" si="2394"/>
        <v>0</v>
      </c>
      <c r="J501" s="215">
        <f t="shared" si="2395"/>
        <v>0</v>
      </c>
      <c r="K501" s="213">
        <f t="shared" ref="K501:W501" si="2574">SUM(K502:K514)</f>
        <v>0</v>
      </c>
      <c r="L501" s="213">
        <f t="shared" si="2574"/>
        <v>0</v>
      </c>
      <c r="M501" s="213">
        <f t="shared" si="2574"/>
        <v>0</v>
      </c>
      <c r="N501" s="213">
        <f t="shared" si="2574"/>
        <v>0</v>
      </c>
      <c r="O501" s="213">
        <f t="shared" si="2574"/>
        <v>0</v>
      </c>
      <c r="P501" s="213">
        <f t="shared" si="2574"/>
        <v>0</v>
      </c>
      <c r="Q501" s="213">
        <f t="shared" si="2574"/>
        <v>0</v>
      </c>
      <c r="R501" s="213">
        <f t="shared" si="2574"/>
        <v>0</v>
      </c>
      <c r="S501" s="213">
        <f t="shared" si="2574"/>
        <v>0</v>
      </c>
      <c r="T501" s="213">
        <f t="shared" si="2574"/>
        <v>0</v>
      </c>
      <c r="U501" s="213">
        <f t="shared" si="2574"/>
        <v>0</v>
      </c>
      <c r="V501" s="213">
        <f t="shared" si="2574"/>
        <v>0</v>
      </c>
      <c r="W501" s="213">
        <f t="shared" si="2574"/>
        <v>0</v>
      </c>
      <c r="X501" s="216">
        <f t="shared" ref="X501:Y501" si="2575">IF(O501&gt;0,O501/K501,0)</f>
        <v>0</v>
      </c>
      <c r="Y501" s="216">
        <f t="shared" si="2575"/>
        <v>0</v>
      </c>
      <c r="Z501" s="216">
        <f t="shared" si="2399"/>
        <v>0</v>
      </c>
      <c r="AA501" s="213">
        <f t="shared" ref="AA501:BW501" si="2576">SUM(AA502:AA514)</f>
        <v>0</v>
      </c>
      <c r="AB501" s="213">
        <f t="shared" si="2576"/>
        <v>0</v>
      </c>
      <c r="AC501" s="213">
        <f t="shared" si="2576"/>
        <v>0</v>
      </c>
      <c r="AD501" s="213">
        <f t="shared" si="2576"/>
        <v>0</v>
      </c>
      <c r="AE501" s="213">
        <f t="shared" si="2576"/>
        <v>0</v>
      </c>
      <c r="AF501" s="213">
        <f t="shared" si="2576"/>
        <v>0</v>
      </c>
      <c r="AG501" s="213">
        <f t="shared" si="2576"/>
        <v>0</v>
      </c>
      <c r="AH501" s="213">
        <f t="shared" si="2576"/>
        <v>0</v>
      </c>
      <c r="AI501" s="213">
        <f t="shared" si="2576"/>
        <v>0</v>
      </c>
      <c r="AJ501" s="213">
        <f t="shared" si="2576"/>
        <v>0</v>
      </c>
      <c r="AK501" s="213">
        <f t="shared" si="2576"/>
        <v>0</v>
      </c>
      <c r="AL501" s="213">
        <f t="shared" si="2576"/>
        <v>0</v>
      </c>
      <c r="AM501" s="213">
        <f t="shared" si="2576"/>
        <v>0</v>
      </c>
      <c r="AN501" s="213">
        <f t="shared" si="2576"/>
        <v>0</v>
      </c>
      <c r="AO501" s="213">
        <f t="shared" si="2576"/>
        <v>0</v>
      </c>
      <c r="AP501" s="213">
        <f t="shared" si="2576"/>
        <v>0</v>
      </c>
      <c r="AQ501" s="213">
        <f t="shared" si="2576"/>
        <v>0</v>
      </c>
      <c r="AR501" s="213">
        <f t="shared" si="2576"/>
        <v>0</v>
      </c>
      <c r="AS501" s="213">
        <f t="shared" si="2576"/>
        <v>0</v>
      </c>
      <c r="AT501" s="213">
        <f t="shared" si="2576"/>
        <v>0</v>
      </c>
      <c r="AU501" s="213">
        <f t="shared" si="2576"/>
        <v>0</v>
      </c>
      <c r="AV501" s="213">
        <f t="shared" si="2576"/>
        <v>0</v>
      </c>
      <c r="AW501" s="213">
        <f t="shared" si="2576"/>
        <v>0</v>
      </c>
      <c r="AX501" s="213">
        <f t="shared" si="2576"/>
        <v>0</v>
      </c>
      <c r="AY501" s="213">
        <f t="shared" si="2576"/>
        <v>0</v>
      </c>
      <c r="AZ501" s="213">
        <f t="shared" si="2576"/>
        <v>0</v>
      </c>
      <c r="BA501" s="213">
        <f t="shared" si="2576"/>
        <v>0</v>
      </c>
      <c r="BB501" s="213">
        <f t="shared" si="2576"/>
        <v>0</v>
      </c>
      <c r="BC501" s="213">
        <f t="shared" si="2576"/>
        <v>0</v>
      </c>
      <c r="BD501" s="213">
        <f t="shared" si="2576"/>
        <v>0</v>
      </c>
      <c r="BE501" s="213">
        <f t="shared" si="2576"/>
        <v>0</v>
      </c>
      <c r="BF501" s="213">
        <f t="shared" si="2576"/>
        <v>0</v>
      </c>
      <c r="BG501" s="213">
        <f t="shared" si="2576"/>
        <v>0</v>
      </c>
      <c r="BH501" s="213">
        <f t="shared" si="2576"/>
        <v>0</v>
      </c>
      <c r="BI501" s="213">
        <f t="shared" si="2576"/>
        <v>0</v>
      </c>
      <c r="BJ501" s="213">
        <f t="shared" si="2576"/>
        <v>0</v>
      </c>
      <c r="BK501" s="213">
        <f t="shared" si="2576"/>
        <v>0</v>
      </c>
      <c r="BL501" s="213">
        <f t="shared" si="2576"/>
        <v>0</v>
      </c>
      <c r="BM501" s="213">
        <f t="shared" si="2576"/>
        <v>0</v>
      </c>
      <c r="BN501" s="213">
        <f t="shared" si="2576"/>
        <v>0</v>
      </c>
      <c r="BO501" s="213">
        <f t="shared" si="2576"/>
        <v>0</v>
      </c>
      <c r="BP501" s="213">
        <f t="shared" si="2576"/>
        <v>0</v>
      </c>
      <c r="BQ501" s="213">
        <f t="shared" si="2576"/>
        <v>0</v>
      </c>
      <c r="BR501" s="213">
        <f t="shared" si="2576"/>
        <v>0</v>
      </c>
      <c r="BS501" s="213">
        <f t="shared" si="2576"/>
        <v>0</v>
      </c>
      <c r="BT501" s="213">
        <f t="shared" si="2576"/>
        <v>0</v>
      </c>
      <c r="BU501" s="213">
        <f t="shared" si="2576"/>
        <v>0</v>
      </c>
      <c r="BV501" s="213">
        <f t="shared" si="2576"/>
        <v>0</v>
      </c>
      <c r="BW501" s="213">
        <f t="shared" si="2576"/>
        <v>0</v>
      </c>
      <c r="BX501" s="51"/>
      <c r="BY501" s="51"/>
      <c r="BZ501" s="51"/>
      <c r="CA501" s="51"/>
      <c r="CB501" s="51"/>
      <c r="CC501" s="51"/>
      <c r="CD501" s="51"/>
      <c r="CE501" s="51"/>
      <c r="CF501" s="51"/>
      <c r="CG501" s="51"/>
    </row>
    <row r="502" spans="1:85" ht="15.75" customHeight="1">
      <c r="A502" s="71"/>
      <c r="B502" s="362"/>
      <c r="C502" s="68" t="s">
        <v>585</v>
      </c>
      <c r="D502" s="70" t="s">
        <v>641</v>
      </c>
      <c r="E502" s="99">
        <v>0</v>
      </c>
      <c r="F502" s="99">
        <v>0</v>
      </c>
      <c r="G502" s="58">
        <f t="shared" ref="G502:G514" si="2577">E502-F502</f>
        <v>0</v>
      </c>
      <c r="H502" s="99">
        <v>0</v>
      </c>
      <c r="I502" s="59">
        <f t="shared" si="2394"/>
        <v>0</v>
      </c>
      <c r="J502" s="59">
        <f t="shared" si="2395"/>
        <v>0</v>
      </c>
      <c r="K502" s="74">
        <v>0</v>
      </c>
      <c r="L502" s="74">
        <v>0</v>
      </c>
      <c r="M502" s="74">
        <v>0</v>
      </c>
      <c r="N502" s="74">
        <v>0</v>
      </c>
      <c r="O502" s="61">
        <f t="shared" ref="O502:Q502" si="2578">AA502+AD502+AG502+AJ502+AM502+AP502+AS502+AV502+AY502+BB502+BE502+BH502</f>
        <v>0</v>
      </c>
      <c r="P502" s="61">
        <f t="shared" si="2578"/>
        <v>0</v>
      </c>
      <c r="Q502" s="61">
        <f t="shared" si="2578"/>
        <v>0</v>
      </c>
      <c r="R502" s="61">
        <f t="shared" ref="R502:T502" si="2579">IF(BK502=0,SUM(AA502+AD502+AG502+AJ502+AM502+AP502+AS502+AV502+AY502+BB502+BE502+BH502),BK502)</f>
        <v>0</v>
      </c>
      <c r="S502" s="61">
        <f t="shared" si="2579"/>
        <v>0</v>
      </c>
      <c r="T502" s="61">
        <f t="shared" si="2579"/>
        <v>0</v>
      </c>
      <c r="U502" s="63">
        <f t="shared" ref="U502:U514" si="2580">K502-O502</f>
        <v>0</v>
      </c>
      <c r="V502" s="63">
        <f t="shared" ref="V502:V514" si="2581">L502-M502-S502</f>
        <v>0</v>
      </c>
      <c r="W502" s="63">
        <f t="shared" ref="W502:W514" si="2582">N502-Q502</f>
        <v>0</v>
      </c>
      <c r="X502" s="64">
        <f t="shared" ref="X502:Y502" si="2583">IF(O502&gt;0,O502/K502,0)</f>
        <v>0</v>
      </c>
      <c r="Y502" s="64">
        <f t="shared" si="2583"/>
        <v>0</v>
      </c>
      <c r="Z502" s="64">
        <f t="shared" si="2399"/>
        <v>0</v>
      </c>
      <c r="AA502" s="65"/>
      <c r="AB502" s="65"/>
      <c r="AC502" s="65"/>
      <c r="AD502" s="65"/>
      <c r="AE502" s="66"/>
      <c r="AF502" s="66"/>
      <c r="AG502" s="66"/>
      <c r="AH502" s="66"/>
      <c r="AI502" s="65"/>
      <c r="AJ502" s="65"/>
      <c r="AK502" s="65"/>
      <c r="AL502" s="65"/>
      <c r="AM502" s="65"/>
      <c r="AN502" s="65"/>
      <c r="AO502" s="65"/>
      <c r="AP502" s="65"/>
      <c r="AQ502" s="65"/>
      <c r="AR502" s="65"/>
      <c r="AS502" s="65"/>
      <c r="AT502" s="65"/>
      <c r="AU502" s="65"/>
      <c r="AV502" s="65"/>
      <c r="AW502" s="65"/>
      <c r="AX502" s="65"/>
      <c r="AY502" s="65"/>
      <c r="AZ502" s="65"/>
      <c r="BA502" s="65"/>
      <c r="BB502" s="65"/>
      <c r="BC502" s="65"/>
      <c r="BD502" s="65"/>
      <c r="BE502" s="65"/>
      <c r="BF502" s="65"/>
      <c r="BG502" s="65"/>
      <c r="BH502" s="65"/>
      <c r="BI502" s="65"/>
      <c r="BJ502" s="65"/>
      <c r="BK502" s="65">
        <v>0</v>
      </c>
      <c r="BL502" s="65">
        <v>0</v>
      </c>
      <c r="BM502" s="65">
        <v>0</v>
      </c>
      <c r="BN502" s="65">
        <f t="shared" ref="BN502:BN514" si="2584">IF(O502-BK502&gt;0,O502-BK502,0)</f>
        <v>0</v>
      </c>
      <c r="BO502" s="67">
        <f t="shared" ref="BO502:BO514" si="2585">IF(Q502-BM502&gt;0,Q502-BM502,0)</f>
        <v>0</v>
      </c>
      <c r="BP502" s="65">
        <f t="shared" ref="BP502:BP514" si="2586">IF(BN502+BO502&gt;0,BN502+BO502,0)</f>
        <v>0</v>
      </c>
      <c r="BQ502" s="65">
        <f t="shared" ref="BQ502:BQ514" si="2587">IF(U502=0,0,U502)</f>
        <v>0</v>
      </c>
      <c r="BR502" s="65">
        <f t="shared" ref="BR502:BR514" si="2588">IF(W502=0,0,W502)</f>
        <v>0</v>
      </c>
      <c r="BS502" s="65">
        <f t="shared" ref="BS502:BS514" si="2589">IF(BQ502+BR502&gt;0,BQ502+BR502,0)</f>
        <v>0</v>
      </c>
      <c r="BT502" s="65">
        <f t="shared" ref="BT502:BT514" si="2590">IF(V502&gt;0,V502,0)</f>
        <v>0</v>
      </c>
      <c r="BU502" s="65">
        <f t="shared" ref="BU502:BU514" si="2591">IF(BP502=0,0,BP502)</f>
        <v>0</v>
      </c>
      <c r="BV502" s="65">
        <f t="shared" ref="BV502:BV514" si="2592">IF(BS502=0,0,BS502)</f>
        <v>0</v>
      </c>
      <c r="BW502" s="65">
        <f t="shared" ref="BW502:BW514" si="2593">IF(BP502+BT502+BV502&gt;0,BP502+BT502+BV502,0)</f>
        <v>0</v>
      </c>
      <c r="BX502" s="6"/>
      <c r="BY502" s="6"/>
      <c r="BZ502" s="6"/>
      <c r="CA502" s="6"/>
      <c r="CB502" s="6"/>
      <c r="CC502" s="6"/>
      <c r="CD502" s="6"/>
      <c r="CE502" s="6"/>
      <c r="CF502" s="6"/>
      <c r="CG502" s="6"/>
    </row>
    <row r="503" spans="1:85" ht="15.75" customHeight="1">
      <c r="A503" s="121"/>
      <c r="B503" s="207"/>
      <c r="C503" s="68" t="s">
        <v>585</v>
      </c>
      <c r="D503" s="70" t="s">
        <v>642</v>
      </c>
      <c r="E503" s="99">
        <v>0</v>
      </c>
      <c r="F503" s="99">
        <v>0</v>
      </c>
      <c r="G503" s="58">
        <f t="shared" si="2577"/>
        <v>0</v>
      </c>
      <c r="H503" s="99">
        <v>0</v>
      </c>
      <c r="I503" s="59">
        <f t="shared" si="2394"/>
        <v>0</v>
      </c>
      <c r="J503" s="59">
        <f t="shared" si="2395"/>
        <v>0</v>
      </c>
      <c r="K503" s="74">
        <v>0</v>
      </c>
      <c r="L503" s="74">
        <v>0</v>
      </c>
      <c r="M503" s="74">
        <v>0</v>
      </c>
      <c r="N503" s="74">
        <v>0</v>
      </c>
      <c r="O503" s="61">
        <f t="shared" ref="O503:Q503" si="2594">AA503+AD503+AG503+AJ503+AM503+AP503+AS503+AV503+AY503+BB503+BE503+BH503</f>
        <v>0</v>
      </c>
      <c r="P503" s="61">
        <f t="shared" si="2594"/>
        <v>0</v>
      </c>
      <c r="Q503" s="61">
        <f t="shared" si="2594"/>
        <v>0</v>
      </c>
      <c r="R503" s="61">
        <f t="shared" ref="R503:T503" si="2595">IF(BK503=0,SUM(AA503+AD503+AG503+AJ503+AM503+AP503+AS503+AV503+AY503+BB503+BE503+BH503),BK503)</f>
        <v>0</v>
      </c>
      <c r="S503" s="61">
        <f t="shared" si="2595"/>
        <v>0</v>
      </c>
      <c r="T503" s="61">
        <f t="shared" si="2595"/>
        <v>0</v>
      </c>
      <c r="U503" s="63">
        <f t="shared" si="2580"/>
        <v>0</v>
      </c>
      <c r="V503" s="63">
        <f t="shared" si="2581"/>
        <v>0</v>
      </c>
      <c r="W503" s="63">
        <f t="shared" si="2582"/>
        <v>0</v>
      </c>
      <c r="X503" s="64">
        <f t="shared" ref="X503:Y503" si="2596">IF(O503&gt;0,O503/K503,0)</f>
        <v>0</v>
      </c>
      <c r="Y503" s="64">
        <f t="shared" si="2596"/>
        <v>0</v>
      </c>
      <c r="Z503" s="64">
        <f t="shared" si="2399"/>
        <v>0</v>
      </c>
      <c r="AA503" s="65"/>
      <c r="AB503" s="65"/>
      <c r="AC503" s="65"/>
      <c r="AD503" s="65"/>
      <c r="AE503" s="66"/>
      <c r="AF503" s="66"/>
      <c r="AG503" s="66"/>
      <c r="AH503" s="66"/>
      <c r="AI503" s="65"/>
      <c r="AJ503" s="65"/>
      <c r="AK503" s="65"/>
      <c r="AL503" s="65"/>
      <c r="AM503" s="65"/>
      <c r="AN503" s="65"/>
      <c r="AO503" s="65"/>
      <c r="AP503" s="65"/>
      <c r="AQ503" s="65"/>
      <c r="AR503" s="65"/>
      <c r="AS503" s="65"/>
      <c r="AT503" s="65"/>
      <c r="AU503" s="65"/>
      <c r="AV503" s="65"/>
      <c r="AW503" s="65"/>
      <c r="AX503" s="65"/>
      <c r="AY503" s="65"/>
      <c r="AZ503" s="65"/>
      <c r="BA503" s="65"/>
      <c r="BB503" s="65"/>
      <c r="BC503" s="65"/>
      <c r="BD503" s="65"/>
      <c r="BE503" s="65"/>
      <c r="BF503" s="65"/>
      <c r="BG503" s="65"/>
      <c r="BH503" s="65"/>
      <c r="BI503" s="65"/>
      <c r="BJ503" s="65"/>
      <c r="BK503" s="65">
        <v>0</v>
      </c>
      <c r="BL503" s="65">
        <v>0</v>
      </c>
      <c r="BM503" s="65">
        <v>0</v>
      </c>
      <c r="BN503" s="65">
        <f t="shared" si="2584"/>
        <v>0</v>
      </c>
      <c r="BO503" s="67">
        <f t="shared" si="2585"/>
        <v>0</v>
      </c>
      <c r="BP503" s="65">
        <f t="shared" si="2586"/>
        <v>0</v>
      </c>
      <c r="BQ503" s="65">
        <f t="shared" si="2587"/>
        <v>0</v>
      </c>
      <c r="BR503" s="65">
        <f t="shared" si="2588"/>
        <v>0</v>
      </c>
      <c r="BS503" s="65">
        <f t="shared" si="2589"/>
        <v>0</v>
      </c>
      <c r="BT503" s="65">
        <f t="shared" si="2590"/>
        <v>0</v>
      </c>
      <c r="BU503" s="65">
        <f t="shared" si="2591"/>
        <v>0</v>
      </c>
      <c r="BV503" s="65">
        <f t="shared" si="2592"/>
        <v>0</v>
      </c>
      <c r="BW503" s="65">
        <f t="shared" si="2593"/>
        <v>0</v>
      </c>
      <c r="BX503" s="6"/>
      <c r="BY503" s="6"/>
      <c r="BZ503" s="6"/>
      <c r="CA503" s="6"/>
      <c r="CB503" s="6"/>
      <c r="CC503" s="6"/>
      <c r="CD503" s="6"/>
      <c r="CE503" s="6"/>
      <c r="CF503" s="6"/>
      <c r="CG503" s="6"/>
    </row>
    <row r="504" spans="1:85" ht="15.75" customHeight="1">
      <c r="A504" s="121"/>
      <c r="B504" s="169"/>
      <c r="C504" s="68" t="s">
        <v>585</v>
      </c>
      <c r="D504" s="70" t="s">
        <v>643</v>
      </c>
      <c r="E504" s="99">
        <v>0</v>
      </c>
      <c r="F504" s="99">
        <v>0</v>
      </c>
      <c r="G504" s="58">
        <f t="shared" si="2577"/>
        <v>0</v>
      </c>
      <c r="H504" s="99">
        <v>0</v>
      </c>
      <c r="I504" s="59">
        <f t="shared" si="2394"/>
        <v>0</v>
      </c>
      <c r="J504" s="59">
        <f t="shared" si="2395"/>
        <v>0</v>
      </c>
      <c r="K504" s="74">
        <v>0</v>
      </c>
      <c r="L504" s="74">
        <v>0</v>
      </c>
      <c r="M504" s="74">
        <v>0</v>
      </c>
      <c r="N504" s="74">
        <v>0</v>
      </c>
      <c r="O504" s="61">
        <f t="shared" ref="O504:Q504" si="2597">AA504+AD504+AG504+AJ504+AM504+AP504+AS504+AV504+AY504+BB504+BE504+BH504</f>
        <v>0</v>
      </c>
      <c r="P504" s="61">
        <f t="shared" si="2597"/>
        <v>0</v>
      </c>
      <c r="Q504" s="61">
        <f t="shared" si="2597"/>
        <v>0</v>
      </c>
      <c r="R504" s="61">
        <f t="shared" ref="R504:T504" si="2598">IF(BK504=0,SUM(AA504+AD504+AG504+AJ504+AM504+AP504+AS504+AV504+AY504+BB504+BE504+BH504),BK504)</f>
        <v>0</v>
      </c>
      <c r="S504" s="61">
        <f t="shared" si="2598"/>
        <v>0</v>
      </c>
      <c r="T504" s="61">
        <f t="shared" si="2598"/>
        <v>0</v>
      </c>
      <c r="U504" s="63">
        <f t="shared" si="2580"/>
        <v>0</v>
      </c>
      <c r="V504" s="63">
        <f t="shared" si="2581"/>
        <v>0</v>
      </c>
      <c r="W504" s="63">
        <f t="shared" si="2582"/>
        <v>0</v>
      </c>
      <c r="X504" s="64">
        <f t="shared" ref="X504:Y504" si="2599">IF(O504&gt;0,O504/K504,0)</f>
        <v>0</v>
      </c>
      <c r="Y504" s="64">
        <f t="shared" si="2599"/>
        <v>0</v>
      </c>
      <c r="Z504" s="64">
        <f t="shared" si="2399"/>
        <v>0</v>
      </c>
      <c r="AA504" s="65"/>
      <c r="AB504" s="65"/>
      <c r="AC504" s="65"/>
      <c r="AD504" s="65"/>
      <c r="AE504" s="66"/>
      <c r="AF504" s="66"/>
      <c r="AG504" s="66"/>
      <c r="AH504" s="66"/>
      <c r="AI504" s="65"/>
      <c r="AJ504" s="65"/>
      <c r="AK504" s="65"/>
      <c r="AL504" s="65"/>
      <c r="AM504" s="65"/>
      <c r="AN504" s="65"/>
      <c r="AO504" s="65"/>
      <c r="AP504" s="65"/>
      <c r="AQ504" s="65"/>
      <c r="AR504" s="65"/>
      <c r="AS504" s="65"/>
      <c r="AT504" s="65"/>
      <c r="AU504" s="65"/>
      <c r="AV504" s="65"/>
      <c r="AW504" s="65"/>
      <c r="AX504" s="65"/>
      <c r="AY504" s="65"/>
      <c r="AZ504" s="65"/>
      <c r="BA504" s="65"/>
      <c r="BB504" s="65"/>
      <c r="BC504" s="65"/>
      <c r="BD504" s="65"/>
      <c r="BE504" s="65"/>
      <c r="BF504" s="65"/>
      <c r="BG504" s="65"/>
      <c r="BH504" s="65"/>
      <c r="BI504" s="65"/>
      <c r="BJ504" s="65"/>
      <c r="BK504" s="65">
        <v>0</v>
      </c>
      <c r="BL504" s="65">
        <v>0</v>
      </c>
      <c r="BM504" s="65">
        <v>0</v>
      </c>
      <c r="BN504" s="65">
        <f t="shared" si="2584"/>
        <v>0</v>
      </c>
      <c r="BO504" s="67">
        <f t="shared" si="2585"/>
        <v>0</v>
      </c>
      <c r="BP504" s="65">
        <f t="shared" si="2586"/>
        <v>0</v>
      </c>
      <c r="BQ504" s="65">
        <f t="shared" si="2587"/>
        <v>0</v>
      </c>
      <c r="BR504" s="65">
        <f t="shared" si="2588"/>
        <v>0</v>
      </c>
      <c r="BS504" s="65">
        <f t="shared" si="2589"/>
        <v>0</v>
      </c>
      <c r="BT504" s="65">
        <f t="shared" si="2590"/>
        <v>0</v>
      </c>
      <c r="BU504" s="65">
        <f t="shared" si="2591"/>
        <v>0</v>
      </c>
      <c r="BV504" s="65">
        <f t="shared" si="2592"/>
        <v>0</v>
      </c>
      <c r="BW504" s="65">
        <f t="shared" si="2593"/>
        <v>0</v>
      </c>
      <c r="BX504" s="6"/>
      <c r="BY504" s="6"/>
      <c r="BZ504" s="6"/>
      <c r="CA504" s="6"/>
      <c r="CB504" s="6"/>
      <c r="CC504" s="6"/>
      <c r="CD504" s="6"/>
      <c r="CE504" s="6"/>
      <c r="CF504" s="6"/>
      <c r="CG504" s="6"/>
    </row>
    <row r="505" spans="1:85" ht="15.75" customHeight="1">
      <c r="A505" s="121"/>
      <c r="B505" s="362"/>
      <c r="C505" s="68" t="s">
        <v>585</v>
      </c>
      <c r="D505" s="70" t="s">
        <v>644</v>
      </c>
      <c r="E505" s="99">
        <v>0</v>
      </c>
      <c r="F505" s="99">
        <v>0</v>
      </c>
      <c r="G505" s="58">
        <f t="shared" si="2577"/>
        <v>0</v>
      </c>
      <c r="H505" s="99">
        <v>0</v>
      </c>
      <c r="I505" s="59">
        <f t="shared" si="2394"/>
        <v>0</v>
      </c>
      <c r="J505" s="59">
        <f t="shared" si="2395"/>
        <v>0</v>
      </c>
      <c r="K505" s="74">
        <v>0</v>
      </c>
      <c r="L505" s="74">
        <v>0</v>
      </c>
      <c r="M505" s="74">
        <v>0</v>
      </c>
      <c r="N505" s="74">
        <v>0</v>
      </c>
      <c r="O505" s="61">
        <f t="shared" ref="O505:Q505" si="2600">AA505+AD505+AG505+AJ505+AM505+AP505+AS505+AV505+AY505+BB505+BE505+BH505</f>
        <v>0</v>
      </c>
      <c r="P505" s="61">
        <f t="shared" si="2600"/>
        <v>0</v>
      </c>
      <c r="Q505" s="61">
        <f t="shared" si="2600"/>
        <v>0</v>
      </c>
      <c r="R505" s="61">
        <f t="shared" ref="R505:T505" si="2601">IF(BK505=0,SUM(AA505+AD505+AG505+AJ505+AM505+AP505+AS505+AV505+AY505+BB505+BE505+BH505),BK505)</f>
        <v>0</v>
      </c>
      <c r="S505" s="61">
        <f t="shared" si="2601"/>
        <v>0</v>
      </c>
      <c r="T505" s="61">
        <f t="shared" si="2601"/>
        <v>0</v>
      </c>
      <c r="U505" s="63">
        <f t="shared" si="2580"/>
        <v>0</v>
      </c>
      <c r="V505" s="63">
        <f t="shared" si="2581"/>
        <v>0</v>
      </c>
      <c r="W505" s="63">
        <f t="shared" si="2582"/>
        <v>0</v>
      </c>
      <c r="X505" s="64">
        <f t="shared" ref="X505:Y505" si="2602">IF(O505&gt;0,O505/K505,0)</f>
        <v>0</v>
      </c>
      <c r="Y505" s="64">
        <f t="shared" si="2602"/>
        <v>0</v>
      </c>
      <c r="Z505" s="64">
        <f t="shared" si="2399"/>
        <v>0</v>
      </c>
      <c r="AA505" s="65"/>
      <c r="AB505" s="65"/>
      <c r="AC505" s="65"/>
      <c r="AD505" s="65"/>
      <c r="AE505" s="66"/>
      <c r="AF505" s="66"/>
      <c r="AG505" s="66"/>
      <c r="AH505" s="66"/>
      <c r="AI505" s="65"/>
      <c r="AJ505" s="65"/>
      <c r="AK505" s="65"/>
      <c r="AL505" s="65"/>
      <c r="AM505" s="65"/>
      <c r="AN505" s="65"/>
      <c r="AO505" s="65"/>
      <c r="AP505" s="65"/>
      <c r="AQ505" s="65"/>
      <c r="AR505" s="65"/>
      <c r="AS505" s="65"/>
      <c r="AT505" s="65"/>
      <c r="AU505" s="65"/>
      <c r="AV505" s="65"/>
      <c r="AW505" s="65"/>
      <c r="AX505" s="65"/>
      <c r="AY505" s="65"/>
      <c r="AZ505" s="65"/>
      <c r="BA505" s="65"/>
      <c r="BB505" s="65"/>
      <c r="BC505" s="65"/>
      <c r="BD505" s="65"/>
      <c r="BE505" s="65"/>
      <c r="BF505" s="65"/>
      <c r="BG505" s="65"/>
      <c r="BH505" s="65"/>
      <c r="BI505" s="65"/>
      <c r="BJ505" s="65"/>
      <c r="BK505" s="65">
        <v>0</v>
      </c>
      <c r="BL505" s="65">
        <v>0</v>
      </c>
      <c r="BM505" s="65">
        <v>0</v>
      </c>
      <c r="BN505" s="65">
        <f t="shared" si="2584"/>
        <v>0</v>
      </c>
      <c r="BO505" s="67">
        <f t="shared" si="2585"/>
        <v>0</v>
      </c>
      <c r="BP505" s="65">
        <f t="shared" si="2586"/>
        <v>0</v>
      </c>
      <c r="BQ505" s="65">
        <f t="shared" si="2587"/>
        <v>0</v>
      </c>
      <c r="BR505" s="65">
        <f t="shared" si="2588"/>
        <v>0</v>
      </c>
      <c r="BS505" s="65">
        <f t="shared" si="2589"/>
        <v>0</v>
      </c>
      <c r="BT505" s="65">
        <f t="shared" si="2590"/>
        <v>0</v>
      </c>
      <c r="BU505" s="65">
        <f t="shared" si="2591"/>
        <v>0</v>
      </c>
      <c r="BV505" s="65">
        <f t="shared" si="2592"/>
        <v>0</v>
      </c>
      <c r="BW505" s="65">
        <f t="shared" si="2593"/>
        <v>0</v>
      </c>
      <c r="BX505" s="6"/>
      <c r="BY505" s="6"/>
      <c r="BZ505" s="6"/>
      <c r="CA505" s="6"/>
      <c r="CB505" s="6"/>
      <c r="CC505" s="6"/>
      <c r="CD505" s="6"/>
      <c r="CE505" s="6"/>
      <c r="CF505" s="6"/>
      <c r="CG505" s="6"/>
    </row>
    <row r="506" spans="1:85" ht="15.75" customHeight="1">
      <c r="A506" s="121"/>
      <c r="B506" s="169"/>
      <c r="C506" s="68" t="s">
        <v>585</v>
      </c>
      <c r="D506" s="70" t="s">
        <v>645</v>
      </c>
      <c r="E506" s="99">
        <v>0</v>
      </c>
      <c r="F506" s="99">
        <v>0</v>
      </c>
      <c r="G506" s="58">
        <f t="shared" si="2577"/>
        <v>0</v>
      </c>
      <c r="H506" s="99">
        <v>0</v>
      </c>
      <c r="I506" s="59">
        <f t="shared" si="2394"/>
        <v>0</v>
      </c>
      <c r="J506" s="59">
        <f t="shared" si="2395"/>
        <v>0</v>
      </c>
      <c r="K506" s="74">
        <v>0</v>
      </c>
      <c r="L506" s="74">
        <v>0</v>
      </c>
      <c r="M506" s="74">
        <v>0</v>
      </c>
      <c r="N506" s="74">
        <v>0</v>
      </c>
      <c r="O506" s="61">
        <f t="shared" ref="O506:Q506" si="2603">AA506+AD506+AG506+AJ506+AM506+AP506+AS506+AV506+AY506+BB506+BE506+BH506</f>
        <v>0</v>
      </c>
      <c r="P506" s="61">
        <f t="shared" si="2603"/>
        <v>0</v>
      </c>
      <c r="Q506" s="61">
        <f t="shared" si="2603"/>
        <v>0</v>
      </c>
      <c r="R506" s="61">
        <f t="shared" ref="R506:T506" si="2604">IF(BK506=0,SUM(AA506+AD506+AG506+AJ506+AM506+AP506+AS506+AV506+AY506+BB506+BE506+BH506),BK506)</f>
        <v>0</v>
      </c>
      <c r="S506" s="61">
        <f t="shared" si="2604"/>
        <v>0</v>
      </c>
      <c r="T506" s="61">
        <f t="shared" si="2604"/>
        <v>0</v>
      </c>
      <c r="U506" s="63">
        <f t="shared" si="2580"/>
        <v>0</v>
      </c>
      <c r="V506" s="63">
        <f t="shared" si="2581"/>
        <v>0</v>
      </c>
      <c r="W506" s="63">
        <f t="shared" si="2582"/>
        <v>0</v>
      </c>
      <c r="X506" s="64">
        <f t="shared" ref="X506:Y506" si="2605">IF(O506&gt;0,O506/K506,0)</f>
        <v>0</v>
      </c>
      <c r="Y506" s="64">
        <f t="shared" si="2605"/>
        <v>0</v>
      </c>
      <c r="Z506" s="64">
        <f t="shared" si="2399"/>
        <v>0</v>
      </c>
      <c r="AA506" s="65"/>
      <c r="AB506" s="65"/>
      <c r="AC506" s="65"/>
      <c r="AD506" s="65"/>
      <c r="AE506" s="66"/>
      <c r="AF506" s="66"/>
      <c r="AG506" s="66"/>
      <c r="AH506" s="66"/>
      <c r="AI506" s="65"/>
      <c r="AJ506" s="65"/>
      <c r="AK506" s="65"/>
      <c r="AL506" s="65"/>
      <c r="AM506" s="65"/>
      <c r="AN506" s="65"/>
      <c r="AO506" s="65"/>
      <c r="AP506" s="65"/>
      <c r="AQ506" s="65"/>
      <c r="AR506" s="65"/>
      <c r="AS506" s="65"/>
      <c r="AT506" s="65"/>
      <c r="AU506" s="65"/>
      <c r="AV506" s="65"/>
      <c r="AW506" s="65"/>
      <c r="AX506" s="65"/>
      <c r="AY506" s="65"/>
      <c r="AZ506" s="65"/>
      <c r="BA506" s="65"/>
      <c r="BB506" s="65"/>
      <c r="BC506" s="65"/>
      <c r="BD506" s="65"/>
      <c r="BE506" s="65"/>
      <c r="BF506" s="65"/>
      <c r="BG506" s="65"/>
      <c r="BH506" s="65"/>
      <c r="BI506" s="65"/>
      <c r="BJ506" s="65"/>
      <c r="BK506" s="65">
        <v>0</v>
      </c>
      <c r="BL506" s="65">
        <v>0</v>
      </c>
      <c r="BM506" s="65">
        <v>0</v>
      </c>
      <c r="BN506" s="65">
        <f t="shared" si="2584"/>
        <v>0</v>
      </c>
      <c r="BO506" s="67">
        <f t="shared" si="2585"/>
        <v>0</v>
      </c>
      <c r="BP506" s="65">
        <f t="shared" si="2586"/>
        <v>0</v>
      </c>
      <c r="BQ506" s="65">
        <f t="shared" si="2587"/>
        <v>0</v>
      </c>
      <c r="BR506" s="65">
        <f t="shared" si="2588"/>
        <v>0</v>
      </c>
      <c r="BS506" s="65">
        <f t="shared" si="2589"/>
        <v>0</v>
      </c>
      <c r="BT506" s="65">
        <f t="shared" si="2590"/>
        <v>0</v>
      </c>
      <c r="BU506" s="65">
        <f t="shared" si="2591"/>
        <v>0</v>
      </c>
      <c r="BV506" s="65">
        <f t="shared" si="2592"/>
        <v>0</v>
      </c>
      <c r="BW506" s="65">
        <f t="shared" si="2593"/>
        <v>0</v>
      </c>
      <c r="BX506" s="6"/>
      <c r="BY506" s="6"/>
      <c r="BZ506" s="6"/>
      <c r="CA506" s="6"/>
      <c r="CB506" s="6"/>
      <c r="CC506" s="6"/>
      <c r="CD506" s="6"/>
      <c r="CE506" s="6"/>
      <c r="CF506" s="6"/>
      <c r="CG506" s="6"/>
    </row>
    <row r="507" spans="1:85" ht="15.75" customHeight="1">
      <c r="A507" s="121"/>
      <c r="B507" s="168"/>
      <c r="C507" s="68" t="s">
        <v>585</v>
      </c>
      <c r="D507" s="70" t="s">
        <v>646</v>
      </c>
      <c r="E507" s="99">
        <v>0</v>
      </c>
      <c r="F507" s="99">
        <v>0</v>
      </c>
      <c r="G507" s="58">
        <f t="shared" si="2577"/>
        <v>0</v>
      </c>
      <c r="H507" s="99">
        <v>0</v>
      </c>
      <c r="I507" s="59">
        <f t="shared" si="2394"/>
        <v>0</v>
      </c>
      <c r="J507" s="59">
        <f t="shared" si="2395"/>
        <v>0</v>
      </c>
      <c r="K507" s="74">
        <v>0</v>
      </c>
      <c r="L507" s="74">
        <v>0</v>
      </c>
      <c r="M507" s="74">
        <v>0</v>
      </c>
      <c r="N507" s="74">
        <v>0</v>
      </c>
      <c r="O507" s="61">
        <f t="shared" ref="O507:Q507" si="2606">AA507+AD507+AG507+AJ507+AM507+AP507+AS507+AV507+AY507+BB507+BE507+BH507</f>
        <v>0</v>
      </c>
      <c r="P507" s="61">
        <f t="shared" si="2606"/>
        <v>0</v>
      </c>
      <c r="Q507" s="61">
        <f t="shared" si="2606"/>
        <v>0</v>
      </c>
      <c r="R507" s="61">
        <f t="shared" ref="R507:T507" si="2607">IF(BK507=0,SUM(AA507+AD507+AG507+AJ507+AM507+AP507+AS507+AV507+AY507+BB507+BE507+BH507),BK507)</f>
        <v>0</v>
      </c>
      <c r="S507" s="61">
        <f t="shared" si="2607"/>
        <v>0</v>
      </c>
      <c r="T507" s="61">
        <f t="shared" si="2607"/>
        <v>0</v>
      </c>
      <c r="U507" s="63">
        <f t="shared" si="2580"/>
        <v>0</v>
      </c>
      <c r="V507" s="63">
        <f t="shared" si="2581"/>
        <v>0</v>
      </c>
      <c r="W507" s="63">
        <f t="shared" si="2582"/>
        <v>0</v>
      </c>
      <c r="X507" s="64">
        <f t="shared" ref="X507:Y507" si="2608">IF(O507&gt;0,O507/K507,0)</f>
        <v>0</v>
      </c>
      <c r="Y507" s="64">
        <f t="shared" si="2608"/>
        <v>0</v>
      </c>
      <c r="Z507" s="64">
        <f t="shared" si="2399"/>
        <v>0</v>
      </c>
      <c r="AA507" s="65"/>
      <c r="AB507" s="65"/>
      <c r="AC507" s="65"/>
      <c r="AD507" s="65"/>
      <c r="AE507" s="66"/>
      <c r="AF507" s="66"/>
      <c r="AG507" s="66"/>
      <c r="AH507" s="66"/>
      <c r="AI507" s="65"/>
      <c r="AJ507" s="65"/>
      <c r="AK507" s="65"/>
      <c r="AL507" s="65"/>
      <c r="AM507" s="65"/>
      <c r="AN507" s="65"/>
      <c r="AO507" s="65"/>
      <c r="AP507" s="65"/>
      <c r="AQ507" s="65"/>
      <c r="AR507" s="65"/>
      <c r="AS507" s="65"/>
      <c r="AT507" s="65"/>
      <c r="AU507" s="65"/>
      <c r="AV507" s="65"/>
      <c r="AW507" s="65"/>
      <c r="AX507" s="65"/>
      <c r="AY507" s="65"/>
      <c r="AZ507" s="65"/>
      <c r="BA507" s="65"/>
      <c r="BB507" s="65"/>
      <c r="BC507" s="65"/>
      <c r="BD507" s="65"/>
      <c r="BE507" s="65"/>
      <c r="BF507" s="65"/>
      <c r="BG507" s="65"/>
      <c r="BH507" s="65"/>
      <c r="BI507" s="65"/>
      <c r="BJ507" s="65"/>
      <c r="BK507" s="65">
        <v>0</v>
      </c>
      <c r="BL507" s="65">
        <v>0</v>
      </c>
      <c r="BM507" s="65">
        <v>0</v>
      </c>
      <c r="BN507" s="65">
        <f t="shared" si="2584"/>
        <v>0</v>
      </c>
      <c r="BO507" s="67">
        <f t="shared" si="2585"/>
        <v>0</v>
      </c>
      <c r="BP507" s="65">
        <f t="shared" si="2586"/>
        <v>0</v>
      </c>
      <c r="BQ507" s="65">
        <f t="shared" si="2587"/>
        <v>0</v>
      </c>
      <c r="BR507" s="65">
        <f t="shared" si="2588"/>
        <v>0</v>
      </c>
      <c r="BS507" s="65">
        <f t="shared" si="2589"/>
        <v>0</v>
      </c>
      <c r="BT507" s="65">
        <f t="shared" si="2590"/>
        <v>0</v>
      </c>
      <c r="BU507" s="65">
        <f t="shared" si="2591"/>
        <v>0</v>
      </c>
      <c r="BV507" s="65">
        <f t="shared" si="2592"/>
        <v>0</v>
      </c>
      <c r="BW507" s="65">
        <f t="shared" si="2593"/>
        <v>0</v>
      </c>
      <c r="BX507" s="6"/>
      <c r="BY507" s="6"/>
      <c r="BZ507" s="6"/>
      <c r="CA507" s="6"/>
      <c r="CB507" s="6"/>
      <c r="CC507" s="6"/>
      <c r="CD507" s="6"/>
      <c r="CE507" s="6"/>
      <c r="CF507" s="6"/>
      <c r="CG507" s="6"/>
    </row>
    <row r="508" spans="1:85" ht="15.75" customHeight="1">
      <c r="A508" s="54"/>
      <c r="B508" s="103"/>
      <c r="C508" s="68" t="s">
        <v>585</v>
      </c>
      <c r="D508" s="70" t="s">
        <v>641</v>
      </c>
      <c r="E508" s="99">
        <v>0</v>
      </c>
      <c r="F508" s="99">
        <v>0</v>
      </c>
      <c r="G508" s="58">
        <f t="shared" si="2577"/>
        <v>0</v>
      </c>
      <c r="H508" s="99">
        <v>0</v>
      </c>
      <c r="I508" s="59">
        <f t="shared" si="2394"/>
        <v>0</v>
      </c>
      <c r="J508" s="59">
        <f t="shared" si="2395"/>
        <v>0</v>
      </c>
      <c r="K508" s="74">
        <v>0</v>
      </c>
      <c r="L508" s="74">
        <v>0</v>
      </c>
      <c r="M508" s="74">
        <v>0</v>
      </c>
      <c r="N508" s="74">
        <v>0</v>
      </c>
      <c r="O508" s="61">
        <f t="shared" ref="O508:Q508" si="2609">AA508+AD508+AG508+AJ508+AM508+AP508+AS508+AV508+AY508+BB508+BE508+BH508</f>
        <v>0</v>
      </c>
      <c r="P508" s="61">
        <f t="shared" si="2609"/>
        <v>0</v>
      </c>
      <c r="Q508" s="61">
        <f t="shared" si="2609"/>
        <v>0</v>
      </c>
      <c r="R508" s="61">
        <f t="shared" ref="R508:T508" si="2610">IF(BK508=0,SUM(AA508+AD508+AG508+AJ508+AM508+AP508+AS508+AV508+AY508+BB508+BE508+BH508),BK508)</f>
        <v>0</v>
      </c>
      <c r="S508" s="61">
        <f t="shared" si="2610"/>
        <v>0</v>
      </c>
      <c r="T508" s="61">
        <f t="shared" si="2610"/>
        <v>0</v>
      </c>
      <c r="U508" s="63">
        <f t="shared" si="2580"/>
        <v>0</v>
      </c>
      <c r="V508" s="63">
        <f t="shared" si="2581"/>
        <v>0</v>
      </c>
      <c r="W508" s="63">
        <f t="shared" si="2582"/>
        <v>0</v>
      </c>
      <c r="X508" s="64">
        <f t="shared" ref="X508:Y508" si="2611">IF(O508&gt;0,O508/K508,0)</f>
        <v>0</v>
      </c>
      <c r="Y508" s="64">
        <f t="shared" si="2611"/>
        <v>0</v>
      </c>
      <c r="Z508" s="64">
        <f t="shared" si="2399"/>
        <v>0</v>
      </c>
      <c r="AA508" s="65"/>
      <c r="AB508" s="65"/>
      <c r="AC508" s="65"/>
      <c r="AD508" s="65"/>
      <c r="AE508" s="66"/>
      <c r="AF508" s="66"/>
      <c r="AG508" s="66"/>
      <c r="AH508" s="66"/>
      <c r="AI508" s="65"/>
      <c r="AJ508" s="65"/>
      <c r="AK508" s="65"/>
      <c r="AL508" s="65"/>
      <c r="AM508" s="65"/>
      <c r="AN508" s="65"/>
      <c r="AO508" s="65"/>
      <c r="AP508" s="65"/>
      <c r="AQ508" s="65"/>
      <c r="AR508" s="65"/>
      <c r="AS508" s="65"/>
      <c r="AT508" s="65"/>
      <c r="AU508" s="65"/>
      <c r="AV508" s="65"/>
      <c r="AW508" s="65"/>
      <c r="AX508" s="65"/>
      <c r="AY508" s="65"/>
      <c r="AZ508" s="65"/>
      <c r="BA508" s="65"/>
      <c r="BB508" s="65"/>
      <c r="BC508" s="65"/>
      <c r="BD508" s="65"/>
      <c r="BE508" s="65"/>
      <c r="BF508" s="65"/>
      <c r="BG508" s="65"/>
      <c r="BH508" s="65"/>
      <c r="BI508" s="65"/>
      <c r="BJ508" s="65"/>
      <c r="BK508" s="65">
        <v>0</v>
      </c>
      <c r="BL508" s="65">
        <v>0</v>
      </c>
      <c r="BM508" s="65">
        <v>0</v>
      </c>
      <c r="BN508" s="65">
        <f t="shared" si="2584"/>
        <v>0</v>
      </c>
      <c r="BO508" s="67">
        <f t="shared" si="2585"/>
        <v>0</v>
      </c>
      <c r="BP508" s="65">
        <f t="shared" si="2586"/>
        <v>0</v>
      </c>
      <c r="BQ508" s="65">
        <f t="shared" si="2587"/>
        <v>0</v>
      </c>
      <c r="BR508" s="65">
        <f t="shared" si="2588"/>
        <v>0</v>
      </c>
      <c r="BS508" s="65">
        <f t="shared" si="2589"/>
        <v>0</v>
      </c>
      <c r="BT508" s="65">
        <f t="shared" si="2590"/>
        <v>0</v>
      </c>
      <c r="BU508" s="65">
        <f t="shared" si="2591"/>
        <v>0</v>
      </c>
      <c r="BV508" s="65">
        <f t="shared" si="2592"/>
        <v>0</v>
      </c>
      <c r="BW508" s="65">
        <f t="shared" si="2593"/>
        <v>0</v>
      </c>
      <c r="BX508" s="6"/>
      <c r="BY508" s="6"/>
      <c r="BZ508" s="6"/>
      <c r="CA508" s="6"/>
      <c r="CB508" s="6"/>
      <c r="CC508" s="6"/>
      <c r="CD508" s="6"/>
      <c r="CE508" s="6"/>
      <c r="CF508" s="6"/>
      <c r="CG508" s="6"/>
    </row>
    <row r="509" spans="1:85" ht="15.75" customHeight="1">
      <c r="A509" s="206"/>
      <c r="B509" s="69"/>
      <c r="C509" s="68" t="s">
        <v>585</v>
      </c>
      <c r="D509" s="70" t="s">
        <v>647</v>
      </c>
      <c r="E509" s="99">
        <v>0</v>
      </c>
      <c r="F509" s="99">
        <v>0</v>
      </c>
      <c r="G509" s="58">
        <f t="shared" si="2577"/>
        <v>0</v>
      </c>
      <c r="H509" s="99">
        <v>0</v>
      </c>
      <c r="I509" s="59">
        <f t="shared" si="2394"/>
        <v>0</v>
      </c>
      <c r="J509" s="59">
        <f t="shared" si="2395"/>
        <v>0</v>
      </c>
      <c r="K509" s="74">
        <v>0</v>
      </c>
      <c r="L509" s="74">
        <v>0</v>
      </c>
      <c r="M509" s="74">
        <v>0</v>
      </c>
      <c r="N509" s="74">
        <v>0</v>
      </c>
      <c r="O509" s="61">
        <f t="shared" ref="O509:Q509" si="2612">AA509+AD509+AG509+AJ509+AM509+AP509+AS509+AV509+AY509+BB509+BE509+BH509</f>
        <v>0</v>
      </c>
      <c r="P509" s="61">
        <f t="shared" si="2612"/>
        <v>0</v>
      </c>
      <c r="Q509" s="61">
        <f t="shared" si="2612"/>
        <v>0</v>
      </c>
      <c r="R509" s="61">
        <f t="shared" ref="R509:T509" si="2613">IF(BK509=0,SUM(AA509+AD509+AG509+AJ509+AM509+AP509+AS509+AV509+AY509+BB509+BE509+BH509),BK509)</f>
        <v>0</v>
      </c>
      <c r="S509" s="61">
        <f t="shared" si="2613"/>
        <v>0</v>
      </c>
      <c r="T509" s="61">
        <f t="shared" si="2613"/>
        <v>0</v>
      </c>
      <c r="U509" s="63">
        <f t="shared" si="2580"/>
        <v>0</v>
      </c>
      <c r="V509" s="63">
        <f t="shared" si="2581"/>
        <v>0</v>
      </c>
      <c r="W509" s="63">
        <f t="shared" si="2582"/>
        <v>0</v>
      </c>
      <c r="X509" s="64">
        <f t="shared" ref="X509:Y509" si="2614">IF(O509&gt;0,O509/K509,0)</f>
        <v>0</v>
      </c>
      <c r="Y509" s="64">
        <f t="shared" si="2614"/>
        <v>0</v>
      </c>
      <c r="Z509" s="64">
        <f t="shared" si="2399"/>
        <v>0</v>
      </c>
      <c r="AA509" s="65"/>
      <c r="AB509" s="65"/>
      <c r="AC509" s="65"/>
      <c r="AD509" s="65"/>
      <c r="AE509" s="66"/>
      <c r="AF509" s="66"/>
      <c r="AG509" s="66"/>
      <c r="AH509" s="66"/>
      <c r="AI509" s="65"/>
      <c r="AJ509" s="65"/>
      <c r="AK509" s="65"/>
      <c r="AL509" s="65"/>
      <c r="AM509" s="65"/>
      <c r="AN509" s="65"/>
      <c r="AO509" s="65"/>
      <c r="AP509" s="65"/>
      <c r="AQ509" s="65"/>
      <c r="AR509" s="65"/>
      <c r="AS509" s="65"/>
      <c r="AT509" s="65"/>
      <c r="AU509" s="65"/>
      <c r="AV509" s="65"/>
      <c r="AW509" s="65"/>
      <c r="AX509" s="65"/>
      <c r="AY509" s="65"/>
      <c r="AZ509" s="65"/>
      <c r="BA509" s="65"/>
      <c r="BB509" s="65"/>
      <c r="BC509" s="65"/>
      <c r="BD509" s="65"/>
      <c r="BE509" s="65"/>
      <c r="BF509" s="65"/>
      <c r="BG509" s="65"/>
      <c r="BH509" s="65"/>
      <c r="BI509" s="65"/>
      <c r="BJ509" s="65"/>
      <c r="BK509" s="65">
        <v>0</v>
      </c>
      <c r="BL509" s="65">
        <v>0</v>
      </c>
      <c r="BM509" s="65">
        <v>0</v>
      </c>
      <c r="BN509" s="65">
        <f t="shared" si="2584"/>
        <v>0</v>
      </c>
      <c r="BO509" s="67">
        <f t="shared" si="2585"/>
        <v>0</v>
      </c>
      <c r="BP509" s="65">
        <f t="shared" si="2586"/>
        <v>0</v>
      </c>
      <c r="BQ509" s="65">
        <f t="shared" si="2587"/>
        <v>0</v>
      </c>
      <c r="BR509" s="65">
        <f t="shared" si="2588"/>
        <v>0</v>
      </c>
      <c r="BS509" s="65">
        <f t="shared" si="2589"/>
        <v>0</v>
      </c>
      <c r="BT509" s="65">
        <f t="shared" si="2590"/>
        <v>0</v>
      </c>
      <c r="BU509" s="65">
        <f t="shared" si="2591"/>
        <v>0</v>
      </c>
      <c r="BV509" s="65">
        <f t="shared" si="2592"/>
        <v>0</v>
      </c>
      <c r="BW509" s="65">
        <f t="shared" si="2593"/>
        <v>0</v>
      </c>
      <c r="BX509" s="6"/>
      <c r="BY509" s="6"/>
      <c r="BZ509" s="6"/>
      <c r="CA509" s="6"/>
      <c r="CB509" s="6"/>
      <c r="CC509" s="6"/>
      <c r="CD509" s="6"/>
      <c r="CE509" s="6"/>
      <c r="CF509" s="6"/>
      <c r="CG509" s="6"/>
    </row>
    <row r="510" spans="1:85" ht="15.75" customHeight="1">
      <c r="A510" s="121"/>
      <c r="B510" s="169"/>
      <c r="C510" s="68" t="s">
        <v>585</v>
      </c>
      <c r="D510" s="70" t="s">
        <v>648</v>
      </c>
      <c r="E510" s="99">
        <v>0</v>
      </c>
      <c r="F510" s="99">
        <v>0</v>
      </c>
      <c r="G510" s="58">
        <f t="shared" si="2577"/>
        <v>0</v>
      </c>
      <c r="H510" s="99">
        <v>0</v>
      </c>
      <c r="I510" s="59">
        <f t="shared" si="2394"/>
        <v>0</v>
      </c>
      <c r="J510" s="59">
        <f t="shared" si="2395"/>
        <v>0</v>
      </c>
      <c r="K510" s="74">
        <v>0</v>
      </c>
      <c r="L510" s="74">
        <v>0</v>
      </c>
      <c r="M510" s="74">
        <v>0</v>
      </c>
      <c r="N510" s="74">
        <v>0</v>
      </c>
      <c r="O510" s="61">
        <f t="shared" ref="O510:Q510" si="2615">AA510+AD510+AG510+AJ510+AM510+AP510+AS510+AV510+AY510+BB510+BE510+BH510</f>
        <v>0</v>
      </c>
      <c r="P510" s="61">
        <f t="shared" si="2615"/>
        <v>0</v>
      </c>
      <c r="Q510" s="61">
        <f t="shared" si="2615"/>
        <v>0</v>
      </c>
      <c r="R510" s="61">
        <f t="shared" ref="R510:T510" si="2616">IF(BK510=0,SUM(AA510+AD510+AG510+AJ510+AM510+AP510+AS510+AV510+AY510+BB510+BE510+BH510),BK510)</f>
        <v>0</v>
      </c>
      <c r="S510" s="61">
        <f t="shared" si="2616"/>
        <v>0</v>
      </c>
      <c r="T510" s="61">
        <f t="shared" si="2616"/>
        <v>0</v>
      </c>
      <c r="U510" s="63">
        <f t="shared" si="2580"/>
        <v>0</v>
      </c>
      <c r="V510" s="63">
        <f t="shared" si="2581"/>
        <v>0</v>
      </c>
      <c r="W510" s="63">
        <f t="shared" si="2582"/>
        <v>0</v>
      </c>
      <c r="X510" s="64">
        <f t="shared" ref="X510:Y510" si="2617">IF(O510&gt;0,O510/K510,0)</f>
        <v>0</v>
      </c>
      <c r="Y510" s="64">
        <f t="shared" si="2617"/>
        <v>0</v>
      </c>
      <c r="Z510" s="64">
        <f t="shared" si="2399"/>
        <v>0</v>
      </c>
      <c r="AA510" s="65"/>
      <c r="AB510" s="65"/>
      <c r="AC510" s="65"/>
      <c r="AD510" s="65"/>
      <c r="AE510" s="66"/>
      <c r="AF510" s="66"/>
      <c r="AG510" s="66"/>
      <c r="AH510" s="66"/>
      <c r="AI510" s="65"/>
      <c r="AJ510" s="65"/>
      <c r="AK510" s="65"/>
      <c r="AL510" s="65"/>
      <c r="AM510" s="65"/>
      <c r="AN510" s="65"/>
      <c r="AO510" s="65"/>
      <c r="AP510" s="65"/>
      <c r="AQ510" s="65"/>
      <c r="AR510" s="65"/>
      <c r="AS510" s="65"/>
      <c r="AT510" s="65"/>
      <c r="AU510" s="65"/>
      <c r="AV510" s="65"/>
      <c r="AW510" s="65"/>
      <c r="AX510" s="65"/>
      <c r="AY510" s="65"/>
      <c r="AZ510" s="65"/>
      <c r="BA510" s="65"/>
      <c r="BB510" s="65"/>
      <c r="BC510" s="65"/>
      <c r="BD510" s="65"/>
      <c r="BE510" s="65"/>
      <c r="BF510" s="65"/>
      <c r="BG510" s="65"/>
      <c r="BH510" s="65"/>
      <c r="BI510" s="65"/>
      <c r="BJ510" s="65"/>
      <c r="BK510" s="65">
        <v>0</v>
      </c>
      <c r="BL510" s="65">
        <v>0</v>
      </c>
      <c r="BM510" s="65">
        <v>0</v>
      </c>
      <c r="BN510" s="65">
        <f t="shared" si="2584"/>
        <v>0</v>
      </c>
      <c r="BO510" s="67">
        <f t="shared" si="2585"/>
        <v>0</v>
      </c>
      <c r="BP510" s="65">
        <f t="shared" si="2586"/>
        <v>0</v>
      </c>
      <c r="BQ510" s="65">
        <f t="shared" si="2587"/>
        <v>0</v>
      </c>
      <c r="BR510" s="65">
        <f t="shared" si="2588"/>
        <v>0</v>
      </c>
      <c r="BS510" s="65">
        <f t="shared" si="2589"/>
        <v>0</v>
      </c>
      <c r="BT510" s="65">
        <f t="shared" si="2590"/>
        <v>0</v>
      </c>
      <c r="BU510" s="65">
        <f t="shared" si="2591"/>
        <v>0</v>
      </c>
      <c r="BV510" s="65">
        <f t="shared" si="2592"/>
        <v>0</v>
      </c>
      <c r="BW510" s="65">
        <f t="shared" si="2593"/>
        <v>0</v>
      </c>
      <c r="BX510" s="6"/>
      <c r="BY510" s="6"/>
      <c r="BZ510" s="6"/>
      <c r="CA510" s="6"/>
      <c r="CB510" s="6"/>
      <c r="CC510" s="6"/>
      <c r="CD510" s="6"/>
      <c r="CE510" s="6"/>
      <c r="CF510" s="6"/>
      <c r="CG510" s="6"/>
    </row>
    <row r="511" spans="1:85" ht="15.75" customHeight="1">
      <c r="A511" s="121"/>
      <c r="B511" s="168"/>
      <c r="C511" s="68" t="s">
        <v>585</v>
      </c>
      <c r="D511" s="70" t="s">
        <v>649</v>
      </c>
      <c r="E511" s="99">
        <v>0</v>
      </c>
      <c r="F511" s="99">
        <v>0</v>
      </c>
      <c r="G511" s="58">
        <f t="shared" si="2577"/>
        <v>0</v>
      </c>
      <c r="H511" s="99">
        <v>0</v>
      </c>
      <c r="I511" s="59">
        <f t="shared" si="2394"/>
        <v>0</v>
      </c>
      <c r="J511" s="59">
        <f t="shared" si="2395"/>
        <v>0</v>
      </c>
      <c r="K511" s="74">
        <v>0</v>
      </c>
      <c r="L511" s="74">
        <v>0</v>
      </c>
      <c r="M511" s="74">
        <v>0</v>
      </c>
      <c r="N511" s="74">
        <v>0</v>
      </c>
      <c r="O511" s="61">
        <f t="shared" ref="O511:Q511" si="2618">AA511+AD511+AG511+AJ511+AM511+AP511+AS511+AV511+AY511+BB511+BE511+BH511</f>
        <v>0</v>
      </c>
      <c r="P511" s="61">
        <f t="shared" si="2618"/>
        <v>0</v>
      </c>
      <c r="Q511" s="61">
        <f t="shared" si="2618"/>
        <v>0</v>
      </c>
      <c r="R511" s="61">
        <f t="shared" ref="R511:T511" si="2619">IF(BK511=0,SUM(AA511+AD511+AG511+AJ511+AM511+AP511+AS511+AV511+AY511+BB511+BE511+BH511),BK511)</f>
        <v>0</v>
      </c>
      <c r="S511" s="61">
        <f t="shared" si="2619"/>
        <v>0</v>
      </c>
      <c r="T511" s="61">
        <f t="shared" si="2619"/>
        <v>0</v>
      </c>
      <c r="U511" s="63">
        <f t="shared" si="2580"/>
        <v>0</v>
      </c>
      <c r="V511" s="63">
        <f t="shared" si="2581"/>
        <v>0</v>
      </c>
      <c r="W511" s="63">
        <f t="shared" si="2582"/>
        <v>0</v>
      </c>
      <c r="X511" s="64">
        <f t="shared" ref="X511:Y511" si="2620">IF(O511&gt;0,O511/K511,0)</f>
        <v>0</v>
      </c>
      <c r="Y511" s="64">
        <f t="shared" si="2620"/>
        <v>0</v>
      </c>
      <c r="Z511" s="64">
        <f t="shared" si="2399"/>
        <v>0</v>
      </c>
      <c r="AA511" s="65"/>
      <c r="AB511" s="65"/>
      <c r="AC511" s="65"/>
      <c r="AD511" s="65"/>
      <c r="AE511" s="66"/>
      <c r="AF511" s="66"/>
      <c r="AG511" s="66"/>
      <c r="AH511" s="66"/>
      <c r="AI511" s="65"/>
      <c r="AJ511" s="65"/>
      <c r="AK511" s="65"/>
      <c r="AL511" s="65"/>
      <c r="AM511" s="65"/>
      <c r="AN511" s="65"/>
      <c r="AO511" s="65"/>
      <c r="AP511" s="65"/>
      <c r="AQ511" s="65"/>
      <c r="AR511" s="65"/>
      <c r="AS511" s="65"/>
      <c r="AT511" s="65"/>
      <c r="AU511" s="65"/>
      <c r="AV511" s="65"/>
      <c r="AW511" s="65"/>
      <c r="AX511" s="65"/>
      <c r="AY511" s="65"/>
      <c r="AZ511" s="65"/>
      <c r="BA511" s="65"/>
      <c r="BB511" s="65"/>
      <c r="BC511" s="65"/>
      <c r="BD511" s="65"/>
      <c r="BE511" s="65"/>
      <c r="BF511" s="65"/>
      <c r="BG511" s="65"/>
      <c r="BH511" s="65"/>
      <c r="BI511" s="65"/>
      <c r="BJ511" s="65"/>
      <c r="BK511" s="65">
        <v>0</v>
      </c>
      <c r="BL511" s="65">
        <v>0</v>
      </c>
      <c r="BM511" s="65">
        <v>0</v>
      </c>
      <c r="BN511" s="65">
        <f t="shared" si="2584"/>
        <v>0</v>
      </c>
      <c r="BO511" s="67">
        <f t="shared" si="2585"/>
        <v>0</v>
      </c>
      <c r="BP511" s="65">
        <f t="shared" si="2586"/>
        <v>0</v>
      </c>
      <c r="BQ511" s="65">
        <f t="shared" si="2587"/>
        <v>0</v>
      </c>
      <c r="BR511" s="65">
        <f t="shared" si="2588"/>
        <v>0</v>
      </c>
      <c r="BS511" s="65">
        <f t="shared" si="2589"/>
        <v>0</v>
      </c>
      <c r="BT511" s="65">
        <f t="shared" si="2590"/>
        <v>0</v>
      </c>
      <c r="BU511" s="65">
        <f t="shared" si="2591"/>
        <v>0</v>
      </c>
      <c r="BV511" s="65">
        <f t="shared" si="2592"/>
        <v>0</v>
      </c>
      <c r="BW511" s="65">
        <f t="shared" si="2593"/>
        <v>0</v>
      </c>
      <c r="BX511" s="6"/>
      <c r="BY511" s="6"/>
      <c r="BZ511" s="6"/>
      <c r="CA511" s="6"/>
      <c r="CB511" s="6"/>
      <c r="CC511" s="6"/>
      <c r="CD511" s="6"/>
      <c r="CE511" s="6"/>
      <c r="CF511" s="6"/>
      <c r="CG511" s="6"/>
    </row>
    <row r="512" spans="1:85" ht="15.75" customHeight="1">
      <c r="A512" s="121"/>
      <c r="B512" s="168"/>
      <c r="C512" s="68" t="s">
        <v>585</v>
      </c>
      <c r="D512" s="70" t="s">
        <v>650</v>
      </c>
      <c r="E512" s="99">
        <v>0</v>
      </c>
      <c r="F512" s="99">
        <v>0</v>
      </c>
      <c r="G512" s="58">
        <f t="shared" si="2577"/>
        <v>0</v>
      </c>
      <c r="H512" s="99">
        <v>0</v>
      </c>
      <c r="I512" s="59">
        <f t="shared" si="2394"/>
        <v>0</v>
      </c>
      <c r="J512" s="59">
        <f t="shared" si="2395"/>
        <v>0</v>
      </c>
      <c r="K512" s="74">
        <v>0</v>
      </c>
      <c r="L512" s="74">
        <v>0</v>
      </c>
      <c r="M512" s="74">
        <v>0</v>
      </c>
      <c r="N512" s="74">
        <v>0</v>
      </c>
      <c r="O512" s="61">
        <f t="shared" ref="O512:Q512" si="2621">AA512+AD512+AG512+AJ512+AM512+AP512+AS512+AV512+AY512+BB512+BE512+BH512</f>
        <v>0</v>
      </c>
      <c r="P512" s="61">
        <f t="shared" si="2621"/>
        <v>0</v>
      </c>
      <c r="Q512" s="61">
        <f t="shared" si="2621"/>
        <v>0</v>
      </c>
      <c r="R512" s="61">
        <f t="shared" ref="R512:T512" si="2622">IF(BK512=0,SUM(AA512+AD512+AG512+AJ512+AM512+AP512+AS512+AV512+AY512+BB512+BE512+BH512),BK512)</f>
        <v>0</v>
      </c>
      <c r="S512" s="61">
        <f t="shared" si="2622"/>
        <v>0</v>
      </c>
      <c r="T512" s="61">
        <f t="shared" si="2622"/>
        <v>0</v>
      </c>
      <c r="U512" s="63">
        <f t="shared" si="2580"/>
        <v>0</v>
      </c>
      <c r="V512" s="63">
        <f t="shared" si="2581"/>
        <v>0</v>
      </c>
      <c r="W512" s="63">
        <f t="shared" si="2582"/>
        <v>0</v>
      </c>
      <c r="X512" s="64">
        <f t="shared" ref="X512:Y512" si="2623">IF(O512&gt;0,O512/K512,0)</f>
        <v>0</v>
      </c>
      <c r="Y512" s="64">
        <f t="shared" si="2623"/>
        <v>0</v>
      </c>
      <c r="Z512" s="64">
        <f t="shared" si="2399"/>
        <v>0</v>
      </c>
      <c r="AA512" s="65"/>
      <c r="AB512" s="65"/>
      <c r="AC512" s="65"/>
      <c r="AD512" s="65"/>
      <c r="AE512" s="66"/>
      <c r="AF512" s="66"/>
      <c r="AG512" s="66"/>
      <c r="AH512" s="66"/>
      <c r="AI512" s="65"/>
      <c r="AJ512" s="65"/>
      <c r="AK512" s="65"/>
      <c r="AL512" s="65"/>
      <c r="AM512" s="65"/>
      <c r="AN512" s="65"/>
      <c r="AO512" s="65"/>
      <c r="AP512" s="65"/>
      <c r="AQ512" s="65"/>
      <c r="AR512" s="65"/>
      <c r="AS512" s="65"/>
      <c r="AT512" s="65"/>
      <c r="AU512" s="65"/>
      <c r="AV512" s="65"/>
      <c r="AW512" s="65"/>
      <c r="AX512" s="65"/>
      <c r="AY512" s="65"/>
      <c r="AZ512" s="65"/>
      <c r="BA512" s="65"/>
      <c r="BB512" s="65"/>
      <c r="BC512" s="65"/>
      <c r="BD512" s="65"/>
      <c r="BE512" s="65"/>
      <c r="BF512" s="65"/>
      <c r="BG512" s="65"/>
      <c r="BH512" s="65"/>
      <c r="BI512" s="65"/>
      <c r="BJ512" s="65"/>
      <c r="BK512" s="65">
        <v>0</v>
      </c>
      <c r="BL512" s="65">
        <v>0</v>
      </c>
      <c r="BM512" s="65">
        <v>0</v>
      </c>
      <c r="BN512" s="65">
        <f t="shared" si="2584"/>
        <v>0</v>
      </c>
      <c r="BO512" s="67">
        <f t="shared" si="2585"/>
        <v>0</v>
      </c>
      <c r="BP512" s="65">
        <f t="shared" si="2586"/>
        <v>0</v>
      </c>
      <c r="BQ512" s="65">
        <f t="shared" si="2587"/>
        <v>0</v>
      </c>
      <c r="BR512" s="65">
        <f t="shared" si="2588"/>
        <v>0</v>
      </c>
      <c r="BS512" s="65">
        <f t="shared" si="2589"/>
        <v>0</v>
      </c>
      <c r="BT512" s="65">
        <f t="shared" si="2590"/>
        <v>0</v>
      </c>
      <c r="BU512" s="65">
        <f t="shared" si="2591"/>
        <v>0</v>
      </c>
      <c r="BV512" s="65">
        <f t="shared" si="2592"/>
        <v>0</v>
      </c>
      <c r="BW512" s="65">
        <f t="shared" si="2593"/>
        <v>0</v>
      </c>
      <c r="BX512" s="6"/>
      <c r="BY512" s="6"/>
      <c r="BZ512" s="6"/>
      <c r="CA512" s="6"/>
      <c r="CB512" s="6"/>
      <c r="CC512" s="6"/>
      <c r="CD512" s="6"/>
      <c r="CE512" s="6"/>
      <c r="CF512" s="6"/>
      <c r="CG512" s="6"/>
    </row>
    <row r="513" spans="1:85" ht="15.75" customHeight="1">
      <c r="A513" s="121"/>
      <c r="B513" s="168"/>
      <c r="C513" s="68" t="s">
        <v>585</v>
      </c>
      <c r="D513" s="70" t="s">
        <v>651</v>
      </c>
      <c r="E513" s="99">
        <v>0</v>
      </c>
      <c r="F513" s="99">
        <v>0</v>
      </c>
      <c r="G513" s="58">
        <f t="shared" si="2577"/>
        <v>0</v>
      </c>
      <c r="H513" s="99">
        <v>0</v>
      </c>
      <c r="I513" s="59">
        <f t="shared" si="2394"/>
        <v>0</v>
      </c>
      <c r="J513" s="59">
        <f t="shared" si="2395"/>
        <v>0</v>
      </c>
      <c r="K513" s="74">
        <v>0</v>
      </c>
      <c r="L513" s="74">
        <v>0</v>
      </c>
      <c r="M513" s="74">
        <v>0</v>
      </c>
      <c r="N513" s="74">
        <v>0</v>
      </c>
      <c r="O513" s="61">
        <f t="shared" ref="O513:Q513" si="2624">AA513+AD513+AG513+AJ513+AM513+AP513+AS513+AV513+AY513+BB513+BE513+BH513</f>
        <v>0</v>
      </c>
      <c r="P513" s="61">
        <f t="shared" si="2624"/>
        <v>0</v>
      </c>
      <c r="Q513" s="61">
        <f t="shared" si="2624"/>
        <v>0</v>
      </c>
      <c r="R513" s="61">
        <f t="shared" ref="R513:T513" si="2625">IF(BK513=0,SUM(AA513+AD513+AG513+AJ513+AM513+AP513+AS513+AV513+AY513+BB513+BE513+BH513),BK513)</f>
        <v>0</v>
      </c>
      <c r="S513" s="61">
        <f t="shared" si="2625"/>
        <v>0</v>
      </c>
      <c r="T513" s="61">
        <f t="shared" si="2625"/>
        <v>0</v>
      </c>
      <c r="U513" s="63">
        <f t="shared" si="2580"/>
        <v>0</v>
      </c>
      <c r="V513" s="63">
        <f t="shared" si="2581"/>
        <v>0</v>
      </c>
      <c r="W513" s="63">
        <f t="shared" si="2582"/>
        <v>0</v>
      </c>
      <c r="X513" s="64">
        <f t="shared" ref="X513:Y513" si="2626">IF(O513&gt;0,O513/K513,0)</f>
        <v>0</v>
      </c>
      <c r="Y513" s="64">
        <f t="shared" si="2626"/>
        <v>0</v>
      </c>
      <c r="Z513" s="64">
        <f t="shared" si="2399"/>
        <v>0</v>
      </c>
      <c r="AA513" s="65"/>
      <c r="AB513" s="65"/>
      <c r="AC513" s="65"/>
      <c r="AD513" s="65"/>
      <c r="AE513" s="66"/>
      <c r="AF513" s="66"/>
      <c r="AG513" s="66"/>
      <c r="AH513" s="66"/>
      <c r="AI513" s="65"/>
      <c r="AJ513" s="65"/>
      <c r="AK513" s="65"/>
      <c r="AL513" s="65"/>
      <c r="AM513" s="65"/>
      <c r="AN513" s="65"/>
      <c r="AO513" s="65"/>
      <c r="AP513" s="65"/>
      <c r="AQ513" s="65"/>
      <c r="AR513" s="65"/>
      <c r="AS513" s="65"/>
      <c r="AT513" s="65"/>
      <c r="AU513" s="65"/>
      <c r="AV513" s="65"/>
      <c r="AW513" s="65"/>
      <c r="AX513" s="65"/>
      <c r="AY513" s="65"/>
      <c r="AZ513" s="65"/>
      <c r="BA513" s="65"/>
      <c r="BB513" s="65"/>
      <c r="BC513" s="65"/>
      <c r="BD513" s="65"/>
      <c r="BE513" s="65"/>
      <c r="BF513" s="65"/>
      <c r="BG513" s="65"/>
      <c r="BH513" s="65"/>
      <c r="BI513" s="65"/>
      <c r="BJ513" s="65"/>
      <c r="BK513" s="65">
        <v>0</v>
      </c>
      <c r="BL513" s="65">
        <v>0</v>
      </c>
      <c r="BM513" s="65">
        <v>0</v>
      </c>
      <c r="BN513" s="65">
        <f t="shared" si="2584"/>
        <v>0</v>
      </c>
      <c r="BO513" s="67">
        <f t="shared" si="2585"/>
        <v>0</v>
      </c>
      <c r="BP513" s="65">
        <f t="shared" si="2586"/>
        <v>0</v>
      </c>
      <c r="BQ513" s="65">
        <f t="shared" si="2587"/>
        <v>0</v>
      </c>
      <c r="BR513" s="65">
        <f t="shared" si="2588"/>
        <v>0</v>
      </c>
      <c r="BS513" s="65">
        <f t="shared" si="2589"/>
        <v>0</v>
      </c>
      <c r="BT513" s="65">
        <f t="shared" si="2590"/>
        <v>0</v>
      </c>
      <c r="BU513" s="65">
        <f t="shared" si="2591"/>
        <v>0</v>
      </c>
      <c r="BV513" s="65">
        <f t="shared" si="2592"/>
        <v>0</v>
      </c>
      <c r="BW513" s="65">
        <f t="shared" si="2593"/>
        <v>0</v>
      </c>
      <c r="BX513" s="6"/>
      <c r="BY513" s="6"/>
      <c r="BZ513" s="6"/>
      <c r="CA513" s="6"/>
      <c r="CB513" s="6"/>
      <c r="CC513" s="6"/>
      <c r="CD513" s="6"/>
      <c r="CE513" s="6"/>
      <c r="CF513" s="6"/>
      <c r="CG513" s="6"/>
    </row>
    <row r="514" spans="1:85" ht="15.75" customHeight="1">
      <c r="A514" s="81"/>
      <c r="B514" s="103"/>
      <c r="C514" s="68" t="s">
        <v>585</v>
      </c>
      <c r="D514" s="70" t="s">
        <v>652</v>
      </c>
      <c r="E514" s="99">
        <v>0</v>
      </c>
      <c r="F514" s="99">
        <v>0</v>
      </c>
      <c r="G514" s="58">
        <f t="shared" si="2577"/>
        <v>0</v>
      </c>
      <c r="H514" s="56">
        <v>166193.20000000001</v>
      </c>
      <c r="I514" s="59">
        <f t="shared" si="2394"/>
        <v>0</v>
      </c>
      <c r="J514" s="59">
        <f t="shared" si="2395"/>
        <v>0</v>
      </c>
      <c r="K514" s="74">
        <v>0</v>
      </c>
      <c r="L514" s="74">
        <v>0</v>
      </c>
      <c r="M514" s="74">
        <v>0</v>
      </c>
      <c r="N514" s="74">
        <v>0</v>
      </c>
      <c r="O514" s="61">
        <f t="shared" ref="O514:Q514" si="2627">AA514+AD514+AG514+AJ514+AM514+AP514+AS514+AV514+AY514+BB514+BE514+BH514</f>
        <v>0</v>
      </c>
      <c r="P514" s="61">
        <f t="shared" si="2627"/>
        <v>0</v>
      </c>
      <c r="Q514" s="61">
        <f t="shared" si="2627"/>
        <v>0</v>
      </c>
      <c r="R514" s="61">
        <f t="shared" ref="R514:T514" si="2628">IF(BK514=0,SUM(AA514+AD514+AG514+AJ514+AM514+AP514+AS514+AV514+AY514+BB514+BE514+BH514),BK514)</f>
        <v>0</v>
      </c>
      <c r="S514" s="61">
        <f t="shared" si="2628"/>
        <v>0</v>
      </c>
      <c r="T514" s="61">
        <f t="shared" si="2628"/>
        <v>0</v>
      </c>
      <c r="U514" s="63">
        <f t="shared" si="2580"/>
        <v>0</v>
      </c>
      <c r="V514" s="63">
        <f t="shared" si="2581"/>
        <v>0</v>
      </c>
      <c r="W514" s="63">
        <f t="shared" si="2582"/>
        <v>0</v>
      </c>
      <c r="X514" s="64">
        <f t="shared" ref="X514:Y514" si="2629">IF(O514&gt;0,O514/K514,0)</f>
        <v>0</v>
      </c>
      <c r="Y514" s="64">
        <f t="shared" si="2629"/>
        <v>0</v>
      </c>
      <c r="Z514" s="64">
        <f t="shared" si="2399"/>
        <v>0</v>
      </c>
      <c r="AA514" s="65"/>
      <c r="AB514" s="65"/>
      <c r="AC514" s="65"/>
      <c r="AD514" s="65"/>
      <c r="AE514" s="66"/>
      <c r="AF514" s="66"/>
      <c r="AG514" s="66"/>
      <c r="AH514" s="66"/>
      <c r="AI514" s="65"/>
      <c r="AJ514" s="65"/>
      <c r="AK514" s="65"/>
      <c r="AL514" s="65"/>
      <c r="AM514" s="65"/>
      <c r="AN514" s="65"/>
      <c r="AO514" s="65"/>
      <c r="AP514" s="65"/>
      <c r="AQ514" s="65"/>
      <c r="AR514" s="65"/>
      <c r="AS514" s="65"/>
      <c r="AT514" s="65"/>
      <c r="AU514" s="65"/>
      <c r="AV514" s="65"/>
      <c r="AW514" s="65"/>
      <c r="AX514" s="65"/>
      <c r="AY514" s="65"/>
      <c r="AZ514" s="65"/>
      <c r="BA514" s="65"/>
      <c r="BB514" s="65"/>
      <c r="BC514" s="65"/>
      <c r="BD514" s="65"/>
      <c r="BE514" s="65"/>
      <c r="BF514" s="65"/>
      <c r="BG514" s="65"/>
      <c r="BH514" s="65"/>
      <c r="BI514" s="65"/>
      <c r="BJ514" s="65"/>
      <c r="BK514" s="65">
        <v>0</v>
      </c>
      <c r="BL514" s="65">
        <v>0</v>
      </c>
      <c r="BM514" s="65">
        <v>0</v>
      </c>
      <c r="BN514" s="65">
        <f t="shared" si="2584"/>
        <v>0</v>
      </c>
      <c r="BO514" s="67">
        <f t="shared" si="2585"/>
        <v>0</v>
      </c>
      <c r="BP514" s="65">
        <f t="shared" si="2586"/>
        <v>0</v>
      </c>
      <c r="BQ514" s="65">
        <f t="shared" si="2587"/>
        <v>0</v>
      </c>
      <c r="BR514" s="65">
        <f t="shared" si="2588"/>
        <v>0</v>
      </c>
      <c r="BS514" s="65">
        <f t="shared" si="2589"/>
        <v>0</v>
      </c>
      <c r="BT514" s="65">
        <f t="shared" si="2590"/>
        <v>0</v>
      </c>
      <c r="BU514" s="65">
        <f t="shared" si="2591"/>
        <v>0</v>
      </c>
      <c r="BV514" s="65">
        <f t="shared" si="2592"/>
        <v>0</v>
      </c>
      <c r="BW514" s="65">
        <f t="shared" si="2593"/>
        <v>0</v>
      </c>
      <c r="BX514" s="6"/>
      <c r="BY514" s="6"/>
      <c r="BZ514" s="6"/>
      <c r="CA514" s="6"/>
      <c r="CB514" s="6"/>
      <c r="CC514" s="6"/>
      <c r="CD514" s="6"/>
      <c r="CE514" s="6"/>
      <c r="CF514" s="6"/>
      <c r="CG514" s="6"/>
    </row>
    <row r="515" spans="1:85" ht="15.75" customHeight="1">
      <c r="A515" s="34"/>
      <c r="B515" s="35"/>
      <c r="C515" s="36"/>
      <c r="D515" s="37" t="s">
        <v>79</v>
      </c>
      <c r="E515" s="38">
        <f t="shared" ref="E515:H515" si="2630">E516+E519+E522+E524+E526</f>
        <v>0</v>
      </c>
      <c r="F515" s="38">
        <f t="shared" si="2630"/>
        <v>0</v>
      </c>
      <c r="G515" s="38">
        <f t="shared" si="2630"/>
        <v>0</v>
      </c>
      <c r="H515" s="38">
        <f t="shared" si="2630"/>
        <v>1450000</v>
      </c>
      <c r="I515" s="39">
        <f t="shared" si="2394"/>
        <v>0</v>
      </c>
      <c r="J515" s="39">
        <f t="shared" si="2395"/>
        <v>0</v>
      </c>
      <c r="K515" s="38">
        <f t="shared" ref="K515:W515" si="2631">K516+K519+K522+K524+K526</f>
        <v>0</v>
      </c>
      <c r="L515" s="38">
        <f t="shared" si="2631"/>
        <v>2846.6</v>
      </c>
      <c r="M515" s="38">
        <f t="shared" si="2631"/>
        <v>0</v>
      </c>
      <c r="N515" s="38">
        <f t="shared" si="2631"/>
        <v>0</v>
      </c>
      <c r="O515" s="38">
        <f t="shared" si="2631"/>
        <v>0</v>
      </c>
      <c r="P515" s="38">
        <f t="shared" si="2631"/>
        <v>2846.6</v>
      </c>
      <c r="Q515" s="38">
        <f t="shared" si="2631"/>
        <v>0</v>
      </c>
      <c r="R515" s="38">
        <f t="shared" si="2631"/>
        <v>0</v>
      </c>
      <c r="S515" s="38">
        <f t="shared" si="2631"/>
        <v>2846.6</v>
      </c>
      <c r="T515" s="38">
        <f t="shared" si="2631"/>
        <v>0</v>
      </c>
      <c r="U515" s="38">
        <f t="shared" si="2631"/>
        <v>0</v>
      </c>
      <c r="V515" s="38">
        <f t="shared" si="2631"/>
        <v>0</v>
      </c>
      <c r="W515" s="38">
        <f t="shared" si="2631"/>
        <v>0</v>
      </c>
      <c r="X515" s="40">
        <f t="shared" ref="X515:Y515" si="2632">IF(O515&gt;0,O515/K515,0)</f>
        <v>0</v>
      </c>
      <c r="Y515" s="40">
        <f t="shared" si="2632"/>
        <v>1</v>
      </c>
      <c r="Z515" s="40">
        <f t="shared" si="2399"/>
        <v>0</v>
      </c>
      <c r="AA515" s="38">
        <f t="shared" ref="AA515:BW515" si="2633">AA516+AA519+AA522+AA524+AA526</f>
        <v>0</v>
      </c>
      <c r="AB515" s="38">
        <f t="shared" si="2633"/>
        <v>0</v>
      </c>
      <c r="AC515" s="38">
        <f t="shared" si="2633"/>
        <v>0</v>
      </c>
      <c r="AD515" s="38">
        <f t="shared" si="2633"/>
        <v>0</v>
      </c>
      <c r="AE515" s="38">
        <f t="shared" si="2633"/>
        <v>0</v>
      </c>
      <c r="AF515" s="38">
        <f t="shared" si="2633"/>
        <v>0</v>
      </c>
      <c r="AG515" s="38">
        <f t="shared" si="2633"/>
        <v>0</v>
      </c>
      <c r="AH515" s="38">
        <f t="shared" si="2633"/>
        <v>2846.6</v>
      </c>
      <c r="AI515" s="38">
        <f t="shared" si="2633"/>
        <v>0</v>
      </c>
      <c r="AJ515" s="38">
        <f t="shared" si="2633"/>
        <v>0</v>
      </c>
      <c r="AK515" s="38">
        <f t="shared" si="2633"/>
        <v>0</v>
      </c>
      <c r="AL515" s="38">
        <f t="shared" si="2633"/>
        <v>0</v>
      </c>
      <c r="AM515" s="38">
        <f t="shared" si="2633"/>
        <v>0</v>
      </c>
      <c r="AN515" s="38">
        <f t="shared" si="2633"/>
        <v>0</v>
      </c>
      <c r="AO515" s="38">
        <f t="shared" si="2633"/>
        <v>0</v>
      </c>
      <c r="AP515" s="38">
        <f t="shared" si="2633"/>
        <v>0</v>
      </c>
      <c r="AQ515" s="38">
        <f t="shared" si="2633"/>
        <v>0</v>
      </c>
      <c r="AR515" s="38">
        <f t="shared" si="2633"/>
        <v>0</v>
      </c>
      <c r="AS515" s="38">
        <f t="shared" si="2633"/>
        <v>0</v>
      </c>
      <c r="AT515" s="38">
        <f t="shared" si="2633"/>
        <v>0</v>
      </c>
      <c r="AU515" s="38">
        <f t="shared" si="2633"/>
        <v>0</v>
      </c>
      <c r="AV515" s="38">
        <f t="shared" si="2633"/>
        <v>0</v>
      </c>
      <c r="AW515" s="38">
        <f t="shared" si="2633"/>
        <v>0</v>
      </c>
      <c r="AX515" s="38">
        <f t="shared" si="2633"/>
        <v>0</v>
      </c>
      <c r="AY515" s="38">
        <f t="shared" si="2633"/>
        <v>0</v>
      </c>
      <c r="AZ515" s="38">
        <f t="shared" si="2633"/>
        <v>0</v>
      </c>
      <c r="BA515" s="38">
        <f t="shared" si="2633"/>
        <v>0</v>
      </c>
      <c r="BB515" s="38">
        <f t="shared" si="2633"/>
        <v>0</v>
      </c>
      <c r="BC515" s="38">
        <f t="shared" si="2633"/>
        <v>0</v>
      </c>
      <c r="BD515" s="38">
        <f t="shared" si="2633"/>
        <v>0</v>
      </c>
      <c r="BE515" s="38">
        <f t="shared" si="2633"/>
        <v>0</v>
      </c>
      <c r="BF515" s="38">
        <f t="shared" si="2633"/>
        <v>0</v>
      </c>
      <c r="BG515" s="38">
        <f t="shared" si="2633"/>
        <v>0</v>
      </c>
      <c r="BH515" s="38">
        <f t="shared" si="2633"/>
        <v>0</v>
      </c>
      <c r="BI515" s="38">
        <f t="shared" si="2633"/>
        <v>0</v>
      </c>
      <c r="BJ515" s="38">
        <f t="shared" si="2633"/>
        <v>0</v>
      </c>
      <c r="BK515" s="38">
        <f t="shared" si="2633"/>
        <v>0</v>
      </c>
      <c r="BL515" s="38">
        <f t="shared" si="2633"/>
        <v>0</v>
      </c>
      <c r="BM515" s="38">
        <f t="shared" si="2633"/>
        <v>0</v>
      </c>
      <c r="BN515" s="38">
        <f t="shared" si="2633"/>
        <v>0</v>
      </c>
      <c r="BO515" s="38">
        <f t="shared" si="2633"/>
        <v>0</v>
      </c>
      <c r="BP515" s="38">
        <f t="shared" si="2633"/>
        <v>0</v>
      </c>
      <c r="BQ515" s="38">
        <f t="shared" si="2633"/>
        <v>0</v>
      </c>
      <c r="BR515" s="38">
        <f t="shared" si="2633"/>
        <v>0</v>
      </c>
      <c r="BS515" s="38">
        <f t="shared" si="2633"/>
        <v>0</v>
      </c>
      <c r="BT515" s="38">
        <f t="shared" si="2633"/>
        <v>0</v>
      </c>
      <c r="BU515" s="38">
        <f t="shared" si="2633"/>
        <v>0</v>
      </c>
      <c r="BV515" s="38">
        <f t="shared" si="2633"/>
        <v>0</v>
      </c>
      <c r="BW515" s="38">
        <f t="shared" si="2633"/>
        <v>0</v>
      </c>
      <c r="BX515" s="6"/>
      <c r="BY515" s="6"/>
      <c r="BZ515" s="6"/>
      <c r="CA515" s="6"/>
      <c r="CB515" s="6"/>
      <c r="CC515" s="6"/>
      <c r="CD515" s="6"/>
      <c r="CE515" s="6"/>
      <c r="CF515" s="6"/>
      <c r="CG515" s="6"/>
    </row>
    <row r="516" spans="1:85" ht="15.75" customHeight="1">
      <c r="A516" s="317"/>
      <c r="B516" s="318"/>
      <c r="C516" s="319"/>
      <c r="D516" s="44" t="s">
        <v>467</v>
      </c>
      <c r="E516" s="45">
        <f t="shared" ref="E516:H516" si="2634">E517+E518</f>
        <v>0</v>
      </c>
      <c r="F516" s="45">
        <f t="shared" si="2634"/>
        <v>0</v>
      </c>
      <c r="G516" s="45">
        <f t="shared" si="2634"/>
        <v>0</v>
      </c>
      <c r="H516" s="45">
        <f t="shared" si="2634"/>
        <v>0</v>
      </c>
      <c r="I516" s="47">
        <f t="shared" si="2394"/>
        <v>0</v>
      </c>
      <c r="J516" s="47">
        <f t="shared" si="2395"/>
        <v>0</v>
      </c>
      <c r="K516" s="45">
        <f t="shared" ref="K516:W516" si="2635">K517+K518</f>
        <v>0</v>
      </c>
      <c r="L516" s="45">
        <f t="shared" si="2635"/>
        <v>0</v>
      </c>
      <c r="M516" s="45">
        <f t="shared" si="2635"/>
        <v>0</v>
      </c>
      <c r="N516" s="45">
        <f t="shared" si="2635"/>
        <v>0</v>
      </c>
      <c r="O516" s="45">
        <f t="shared" si="2635"/>
        <v>0</v>
      </c>
      <c r="P516" s="45">
        <f t="shared" si="2635"/>
        <v>0</v>
      </c>
      <c r="Q516" s="45">
        <f t="shared" si="2635"/>
        <v>0</v>
      </c>
      <c r="R516" s="45">
        <f t="shared" si="2635"/>
        <v>0</v>
      </c>
      <c r="S516" s="45">
        <f t="shared" si="2635"/>
        <v>0</v>
      </c>
      <c r="T516" s="45">
        <f t="shared" si="2635"/>
        <v>0</v>
      </c>
      <c r="U516" s="45">
        <f t="shared" si="2635"/>
        <v>0</v>
      </c>
      <c r="V516" s="45">
        <f t="shared" si="2635"/>
        <v>0</v>
      </c>
      <c r="W516" s="45">
        <f t="shared" si="2635"/>
        <v>0</v>
      </c>
      <c r="X516" s="50">
        <f t="shared" ref="X516:Y516" si="2636">IF(O516&gt;0,O516/K516,0)</f>
        <v>0</v>
      </c>
      <c r="Y516" s="50">
        <f t="shared" si="2636"/>
        <v>0</v>
      </c>
      <c r="Z516" s="50">
        <f t="shared" si="2399"/>
        <v>0</v>
      </c>
      <c r="AA516" s="45">
        <f t="shared" ref="AA516:BW516" si="2637">AA517+AA518</f>
        <v>0</v>
      </c>
      <c r="AB516" s="45">
        <f t="shared" si="2637"/>
        <v>0</v>
      </c>
      <c r="AC516" s="45">
        <f t="shared" si="2637"/>
        <v>0</v>
      </c>
      <c r="AD516" s="45">
        <f t="shared" si="2637"/>
        <v>0</v>
      </c>
      <c r="AE516" s="45">
        <f t="shared" si="2637"/>
        <v>0</v>
      </c>
      <c r="AF516" s="45">
        <f t="shared" si="2637"/>
        <v>0</v>
      </c>
      <c r="AG516" s="45">
        <f t="shared" si="2637"/>
        <v>0</v>
      </c>
      <c r="AH516" s="45">
        <f t="shared" si="2637"/>
        <v>0</v>
      </c>
      <c r="AI516" s="45">
        <f t="shared" si="2637"/>
        <v>0</v>
      </c>
      <c r="AJ516" s="45">
        <f t="shared" si="2637"/>
        <v>0</v>
      </c>
      <c r="AK516" s="45">
        <f t="shared" si="2637"/>
        <v>0</v>
      </c>
      <c r="AL516" s="45">
        <f t="shared" si="2637"/>
        <v>0</v>
      </c>
      <c r="AM516" s="45">
        <f t="shared" si="2637"/>
        <v>0</v>
      </c>
      <c r="AN516" s="45">
        <f t="shared" si="2637"/>
        <v>0</v>
      </c>
      <c r="AO516" s="45">
        <f t="shared" si="2637"/>
        <v>0</v>
      </c>
      <c r="AP516" s="45">
        <f t="shared" si="2637"/>
        <v>0</v>
      </c>
      <c r="AQ516" s="45">
        <f t="shared" si="2637"/>
        <v>0</v>
      </c>
      <c r="AR516" s="45">
        <f t="shared" si="2637"/>
        <v>0</v>
      </c>
      <c r="AS516" s="45">
        <f t="shared" si="2637"/>
        <v>0</v>
      </c>
      <c r="AT516" s="45">
        <f t="shared" si="2637"/>
        <v>0</v>
      </c>
      <c r="AU516" s="45">
        <f t="shared" si="2637"/>
        <v>0</v>
      </c>
      <c r="AV516" s="45">
        <f t="shared" si="2637"/>
        <v>0</v>
      </c>
      <c r="AW516" s="45">
        <f t="shared" si="2637"/>
        <v>0</v>
      </c>
      <c r="AX516" s="45">
        <f t="shared" si="2637"/>
        <v>0</v>
      </c>
      <c r="AY516" s="45">
        <f t="shared" si="2637"/>
        <v>0</v>
      </c>
      <c r="AZ516" s="45">
        <f t="shared" si="2637"/>
        <v>0</v>
      </c>
      <c r="BA516" s="45">
        <f t="shared" si="2637"/>
        <v>0</v>
      </c>
      <c r="BB516" s="45">
        <f t="shared" si="2637"/>
        <v>0</v>
      </c>
      <c r="BC516" s="45">
        <f t="shared" si="2637"/>
        <v>0</v>
      </c>
      <c r="BD516" s="45">
        <f t="shared" si="2637"/>
        <v>0</v>
      </c>
      <c r="BE516" s="45">
        <f t="shared" si="2637"/>
        <v>0</v>
      </c>
      <c r="BF516" s="45">
        <f t="shared" si="2637"/>
        <v>0</v>
      </c>
      <c r="BG516" s="45">
        <f t="shared" si="2637"/>
        <v>0</v>
      </c>
      <c r="BH516" s="45">
        <f t="shared" si="2637"/>
        <v>0</v>
      </c>
      <c r="BI516" s="45">
        <f t="shared" si="2637"/>
        <v>0</v>
      </c>
      <c r="BJ516" s="45">
        <f t="shared" si="2637"/>
        <v>0</v>
      </c>
      <c r="BK516" s="45">
        <f t="shared" si="2637"/>
        <v>0</v>
      </c>
      <c r="BL516" s="45">
        <f t="shared" si="2637"/>
        <v>0</v>
      </c>
      <c r="BM516" s="45">
        <f t="shared" si="2637"/>
        <v>0</v>
      </c>
      <c r="BN516" s="45">
        <f t="shared" si="2637"/>
        <v>0</v>
      </c>
      <c r="BO516" s="45">
        <f t="shared" si="2637"/>
        <v>0</v>
      </c>
      <c r="BP516" s="45">
        <f t="shared" si="2637"/>
        <v>0</v>
      </c>
      <c r="BQ516" s="45">
        <f t="shared" si="2637"/>
        <v>0</v>
      </c>
      <c r="BR516" s="45">
        <f t="shared" si="2637"/>
        <v>0</v>
      </c>
      <c r="BS516" s="45">
        <f t="shared" si="2637"/>
        <v>0</v>
      </c>
      <c r="BT516" s="45">
        <f t="shared" si="2637"/>
        <v>0</v>
      </c>
      <c r="BU516" s="45">
        <f t="shared" si="2637"/>
        <v>0</v>
      </c>
      <c r="BV516" s="45">
        <f t="shared" si="2637"/>
        <v>0</v>
      </c>
      <c r="BW516" s="45">
        <f t="shared" si="2637"/>
        <v>0</v>
      </c>
      <c r="BX516" s="6"/>
      <c r="BY516" s="6"/>
      <c r="BZ516" s="6"/>
      <c r="CA516" s="6"/>
      <c r="CB516" s="6"/>
      <c r="CC516" s="6"/>
      <c r="CD516" s="6"/>
      <c r="CE516" s="6"/>
      <c r="CF516" s="6"/>
      <c r="CG516" s="6"/>
    </row>
    <row r="517" spans="1:85" ht="15.75" customHeight="1">
      <c r="A517" s="68"/>
      <c r="B517" s="69"/>
      <c r="C517" s="68" t="s">
        <v>430</v>
      </c>
      <c r="D517" s="335" t="s">
        <v>490</v>
      </c>
      <c r="E517" s="99">
        <v>0</v>
      </c>
      <c r="F517" s="99">
        <v>0</v>
      </c>
      <c r="G517" s="58">
        <f t="shared" ref="G517:G518" si="2638">E517-F517</f>
        <v>0</v>
      </c>
      <c r="H517" s="57">
        <v>0</v>
      </c>
      <c r="I517" s="59">
        <f t="shared" si="2394"/>
        <v>0</v>
      </c>
      <c r="J517" s="59">
        <f t="shared" si="2395"/>
        <v>0</v>
      </c>
      <c r="K517" s="74">
        <v>0</v>
      </c>
      <c r="L517" s="74">
        <v>0</v>
      </c>
      <c r="M517" s="74">
        <v>0</v>
      </c>
      <c r="N517" s="74">
        <v>0</v>
      </c>
      <c r="O517" s="61">
        <f t="shared" ref="O517:Q517" si="2639">AA517+AD517+AG517+AJ517+AM517+AP517+AS517+AV517+AY517+BB517+BE517+BH517</f>
        <v>0</v>
      </c>
      <c r="P517" s="61">
        <f t="shared" si="2639"/>
        <v>0</v>
      </c>
      <c r="Q517" s="61">
        <f t="shared" si="2639"/>
        <v>0</v>
      </c>
      <c r="R517" s="61">
        <f t="shared" ref="R517:T517" si="2640">IF(BK517=0,SUM(AA517+AD517+AG517+AJ517+AM517+AP517+AS517+AV517+AY517+BB517+BE517+BH517),BK517)</f>
        <v>0</v>
      </c>
      <c r="S517" s="61">
        <f t="shared" si="2640"/>
        <v>0</v>
      </c>
      <c r="T517" s="61">
        <f t="shared" si="2640"/>
        <v>0</v>
      </c>
      <c r="U517" s="63">
        <f t="shared" ref="U517:U518" si="2641">K517-O517</f>
        <v>0</v>
      </c>
      <c r="V517" s="63">
        <f t="shared" ref="V517:V518" si="2642">L517-M517-S517</f>
        <v>0</v>
      </c>
      <c r="W517" s="63">
        <f t="shared" ref="W517:W518" si="2643">N517-Q517</f>
        <v>0</v>
      </c>
      <c r="X517" s="64">
        <f t="shared" ref="X517:Y517" si="2644">IF(O517&gt;0,O517/K517,0)</f>
        <v>0</v>
      </c>
      <c r="Y517" s="64">
        <f t="shared" si="2644"/>
        <v>0</v>
      </c>
      <c r="Z517" s="64">
        <f t="shared" si="2399"/>
        <v>0</v>
      </c>
      <c r="AA517" s="65"/>
      <c r="AB517" s="65"/>
      <c r="AC517" s="65"/>
      <c r="AD517" s="65"/>
      <c r="AE517" s="66"/>
      <c r="AF517" s="66"/>
      <c r="AG517" s="66"/>
      <c r="AH517" s="66"/>
      <c r="AI517" s="65"/>
      <c r="AJ517" s="65"/>
      <c r="AK517" s="65"/>
      <c r="AL517" s="65"/>
      <c r="AM517" s="65"/>
      <c r="AN517" s="65"/>
      <c r="AO517" s="65"/>
      <c r="AP517" s="65"/>
      <c r="AQ517" s="65"/>
      <c r="AR517" s="65"/>
      <c r="AS517" s="65"/>
      <c r="AT517" s="65"/>
      <c r="AU517" s="65"/>
      <c r="AV517" s="65"/>
      <c r="AW517" s="65"/>
      <c r="AX517" s="65"/>
      <c r="AY517" s="65"/>
      <c r="AZ517" s="65"/>
      <c r="BA517" s="65"/>
      <c r="BB517" s="65"/>
      <c r="BC517" s="65"/>
      <c r="BD517" s="65"/>
      <c r="BE517" s="65"/>
      <c r="BF517" s="65"/>
      <c r="BG517" s="65"/>
      <c r="BH517" s="65"/>
      <c r="BI517" s="65"/>
      <c r="BJ517" s="65"/>
      <c r="BK517" s="65">
        <v>0</v>
      </c>
      <c r="BL517" s="65">
        <v>0</v>
      </c>
      <c r="BM517" s="65">
        <v>0</v>
      </c>
      <c r="BN517" s="65">
        <f t="shared" ref="BN517:BN518" si="2645">IF(O517-BK517&gt;0,O517-BK517,0)</f>
        <v>0</v>
      </c>
      <c r="BO517" s="67">
        <f t="shared" ref="BO517:BO518" si="2646">IF(Q517-BM517&gt;0,Q517-BM517,0)</f>
        <v>0</v>
      </c>
      <c r="BP517" s="65">
        <f t="shared" ref="BP517:BP518" si="2647">IF(BN517+BO517&gt;0,BN517+BO517,0)</f>
        <v>0</v>
      </c>
      <c r="BQ517" s="65">
        <f t="shared" ref="BQ517:BQ518" si="2648">IF(U517=0,0,U517)</f>
        <v>0</v>
      </c>
      <c r="BR517" s="65">
        <f t="shared" ref="BR517:BR518" si="2649">IF(W517=0,0,W517)</f>
        <v>0</v>
      </c>
      <c r="BS517" s="65">
        <f t="shared" ref="BS517:BS518" si="2650">IF(BQ517+BR517&gt;0,BQ517+BR517,0)</f>
        <v>0</v>
      </c>
      <c r="BT517" s="65">
        <f t="shared" ref="BT517:BT518" si="2651">IF(V517&gt;0,V517,0)</f>
        <v>0</v>
      </c>
      <c r="BU517" s="65">
        <f t="shared" ref="BU517:BU518" si="2652">IF(BP517=0,0,BP517)</f>
        <v>0</v>
      </c>
      <c r="BV517" s="65">
        <f t="shared" ref="BV517:BV518" si="2653">IF(BS517=0,0,BS517)</f>
        <v>0</v>
      </c>
      <c r="BW517" s="65">
        <f t="shared" ref="BW517:BW518" si="2654">IF(BP517+BT517+BV517&gt;0,BP517+BT517+BV517,0)</f>
        <v>0</v>
      </c>
      <c r="BX517" s="6"/>
      <c r="BY517" s="6"/>
      <c r="BZ517" s="6"/>
      <c r="CA517" s="6"/>
      <c r="CB517" s="6"/>
      <c r="CC517" s="6"/>
      <c r="CD517" s="6"/>
      <c r="CE517" s="6"/>
      <c r="CF517" s="6"/>
      <c r="CG517" s="6"/>
    </row>
    <row r="518" spans="1:85" ht="15.75" customHeight="1">
      <c r="A518" s="68"/>
      <c r="B518" s="69"/>
      <c r="C518" s="104" t="s">
        <v>335</v>
      </c>
      <c r="D518" s="345" t="s">
        <v>653</v>
      </c>
      <c r="E518" s="99">
        <v>0</v>
      </c>
      <c r="F518" s="99">
        <v>0</v>
      </c>
      <c r="G518" s="58">
        <f t="shared" si="2638"/>
        <v>0</v>
      </c>
      <c r="H518" s="57">
        <v>0</v>
      </c>
      <c r="I518" s="59">
        <f t="shared" si="2394"/>
        <v>0</v>
      </c>
      <c r="J518" s="59">
        <f t="shared" si="2395"/>
        <v>0</v>
      </c>
      <c r="K518" s="74">
        <v>0</v>
      </c>
      <c r="L518" s="74">
        <v>0</v>
      </c>
      <c r="M518" s="74">
        <v>0</v>
      </c>
      <c r="N518" s="74">
        <v>0</v>
      </c>
      <c r="O518" s="61">
        <f t="shared" ref="O518:Q518" si="2655">AA518+AD518+AG518+AJ518+AM518+AP518+AS518+AV518+AY518+BB518+BE518+BH518</f>
        <v>0</v>
      </c>
      <c r="P518" s="61">
        <f t="shared" si="2655"/>
        <v>0</v>
      </c>
      <c r="Q518" s="61">
        <f t="shared" si="2655"/>
        <v>0</v>
      </c>
      <c r="R518" s="61">
        <f t="shared" ref="R518:T518" si="2656">IF(BK518=0,SUM(AA518+AD518+AG518+AJ518+AM518+AP518+AS518+AV518+AY518+BB518+BE518+BH518),BK518)</f>
        <v>0</v>
      </c>
      <c r="S518" s="61">
        <f t="shared" si="2656"/>
        <v>0</v>
      </c>
      <c r="T518" s="61">
        <f t="shared" si="2656"/>
        <v>0</v>
      </c>
      <c r="U518" s="63">
        <f t="shared" si="2641"/>
        <v>0</v>
      </c>
      <c r="V518" s="63">
        <f t="shared" si="2642"/>
        <v>0</v>
      </c>
      <c r="W518" s="63">
        <f t="shared" si="2643"/>
        <v>0</v>
      </c>
      <c r="X518" s="64">
        <f t="shared" ref="X518:Y518" si="2657">IF(O518&gt;0,O518/K518,0)</f>
        <v>0</v>
      </c>
      <c r="Y518" s="64">
        <f t="shared" si="2657"/>
        <v>0</v>
      </c>
      <c r="Z518" s="64">
        <f t="shared" si="2399"/>
        <v>0</v>
      </c>
      <c r="AA518" s="65"/>
      <c r="AB518" s="65"/>
      <c r="AC518" s="65"/>
      <c r="AD518" s="65"/>
      <c r="AE518" s="66"/>
      <c r="AF518" s="66"/>
      <c r="AG518" s="66"/>
      <c r="AH518" s="66"/>
      <c r="AI518" s="65"/>
      <c r="AJ518" s="65"/>
      <c r="AK518" s="65"/>
      <c r="AL518" s="65"/>
      <c r="AM518" s="65"/>
      <c r="AN518" s="65"/>
      <c r="AO518" s="65"/>
      <c r="AP518" s="65"/>
      <c r="AQ518" s="65"/>
      <c r="AR518" s="65"/>
      <c r="AS518" s="65"/>
      <c r="AT518" s="65"/>
      <c r="AU518" s="65"/>
      <c r="AV518" s="65"/>
      <c r="AW518" s="65"/>
      <c r="AX518" s="65"/>
      <c r="AY518" s="65"/>
      <c r="AZ518" s="65"/>
      <c r="BA518" s="65"/>
      <c r="BB518" s="65"/>
      <c r="BC518" s="65"/>
      <c r="BD518" s="65"/>
      <c r="BE518" s="65"/>
      <c r="BF518" s="65"/>
      <c r="BG518" s="65"/>
      <c r="BH518" s="65"/>
      <c r="BI518" s="65"/>
      <c r="BJ518" s="65"/>
      <c r="BK518" s="65">
        <v>0</v>
      </c>
      <c r="BL518" s="65">
        <v>0</v>
      </c>
      <c r="BM518" s="65">
        <v>0</v>
      </c>
      <c r="BN518" s="65">
        <f t="shared" si="2645"/>
        <v>0</v>
      </c>
      <c r="BO518" s="67">
        <f t="shared" si="2646"/>
        <v>0</v>
      </c>
      <c r="BP518" s="65">
        <f t="shared" si="2647"/>
        <v>0</v>
      </c>
      <c r="BQ518" s="65">
        <f t="shared" si="2648"/>
        <v>0</v>
      </c>
      <c r="BR518" s="65">
        <f t="shared" si="2649"/>
        <v>0</v>
      </c>
      <c r="BS518" s="65">
        <f t="shared" si="2650"/>
        <v>0</v>
      </c>
      <c r="BT518" s="65">
        <f t="shared" si="2651"/>
        <v>0</v>
      </c>
      <c r="BU518" s="65">
        <f t="shared" si="2652"/>
        <v>0</v>
      </c>
      <c r="BV518" s="65">
        <f t="shared" si="2653"/>
        <v>0</v>
      </c>
      <c r="BW518" s="65">
        <f t="shared" si="2654"/>
        <v>0</v>
      </c>
      <c r="BX518" s="6"/>
      <c r="BY518" s="6"/>
      <c r="BZ518" s="6"/>
      <c r="CA518" s="6"/>
      <c r="CB518" s="6"/>
      <c r="CC518" s="6"/>
      <c r="CD518" s="6"/>
      <c r="CE518" s="6"/>
      <c r="CF518" s="6"/>
      <c r="CG518" s="6"/>
    </row>
    <row r="519" spans="1:85" ht="15.75">
      <c r="A519" s="75"/>
      <c r="B519" s="76"/>
      <c r="C519" s="77"/>
      <c r="D519" s="78" t="s">
        <v>137</v>
      </c>
      <c r="E519" s="45">
        <f t="shared" ref="E519:H519" si="2658">SUM(E520:E521)</f>
        <v>0</v>
      </c>
      <c r="F519" s="45">
        <f t="shared" si="2658"/>
        <v>0</v>
      </c>
      <c r="G519" s="45">
        <f t="shared" si="2658"/>
        <v>0</v>
      </c>
      <c r="H519" s="45">
        <f t="shared" si="2658"/>
        <v>0</v>
      </c>
      <c r="I519" s="47">
        <f t="shared" si="2394"/>
        <v>0</v>
      </c>
      <c r="J519" s="47">
        <f t="shared" si="2395"/>
        <v>0</v>
      </c>
      <c r="K519" s="45">
        <f t="shared" ref="K519:W519" si="2659">SUM(K520:K521)</f>
        <v>0</v>
      </c>
      <c r="L519" s="45">
        <f t="shared" si="2659"/>
        <v>2846.6</v>
      </c>
      <c r="M519" s="45">
        <f t="shared" si="2659"/>
        <v>0</v>
      </c>
      <c r="N519" s="45">
        <f t="shared" si="2659"/>
        <v>0</v>
      </c>
      <c r="O519" s="45">
        <f t="shared" si="2659"/>
        <v>0</v>
      </c>
      <c r="P519" s="45">
        <f t="shared" si="2659"/>
        <v>2846.6</v>
      </c>
      <c r="Q519" s="45">
        <f t="shared" si="2659"/>
        <v>0</v>
      </c>
      <c r="R519" s="45">
        <f t="shared" si="2659"/>
        <v>0</v>
      </c>
      <c r="S519" s="45">
        <f t="shared" si="2659"/>
        <v>2846.6</v>
      </c>
      <c r="T519" s="45">
        <f t="shared" si="2659"/>
        <v>0</v>
      </c>
      <c r="U519" s="45">
        <f t="shared" si="2659"/>
        <v>0</v>
      </c>
      <c r="V519" s="45">
        <f t="shared" si="2659"/>
        <v>0</v>
      </c>
      <c r="W519" s="45">
        <f t="shared" si="2659"/>
        <v>0</v>
      </c>
      <c r="X519" s="50">
        <f t="shared" ref="X519:Y519" si="2660">IF(O519&gt;0,O519/K519,0)</f>
        <v>0</v>
      </c>
      <c r="Y519" s="50">
        <f t="shared" si="2660"/>
        <v>1</v>
      </c>
      <c r="Z519" s="50">
        <f t="shared" si="2399"/>
        <v>0</v>
      </c>
      <c r="AA519" s="45">
        <f t="shared" ref="AA519:BW519" si="2661">SUM(AA520:AA521)</f>
        <v>0</v>
      </c>
      <c r="AB519" s="45">
        <f t="shared" si="2661"/>
        <v>0</v>
      </c>
      <c r="AC519" s="45">
        <f t="shared" si="2661"/>
        <v>0</v>
      </c>
      <c r="AD519" s="45">
        <f t="shared" si="2661"/>
        <v>0</v>
      </c>
      <c r="AE519" s="45">
        <f t="shared" si="2661"/>
        <v>0</v>
      </c>
      <c r="AF519" s="45">
        <f t="shared" si="2661"/>
        <v>0</v>
      </c>
      <c r="AG519" s="45">
        <f t="shared" si="2661"/>
        <v>0</v>
      </c>
      <c r="AH519" s="45">
        <f t="shared" si="2661"/>
        <v>2846.6</v>
      </c>
      <c r="AI519" s="45">
        <f t="shared" si="2661"/>
        <v>0</v>
      </c>
      <c r="AJ519" s="45">
        <f t="shared" si="2661"/>
        <v>0</v>
      </c>
      <c r="AK519" s="45">
        <f t="shared" si="2661"/>
        <v>0</v>
      </c>
      <c r="AL519" s="45">
        <f t="shared" si="2661"/>
        <v>0</v>
      </c>
      <c r="AM519" s="45">
        <f t="shared" si="2661"/>
        <v>0</v>
      </c>
      <c r="AN519" s="45">
        <f t="shared" si="2661"/>
        <v>0</v>
      </c>
      <c r="AO519" s="45">
        <f t="shared" si="2661"/>
        <v>0</v>
      </c>
      <c r="AP519" s="45">
        <f t="shared" si="2661"/>
        <v>0</v>
      </c>
      <c r="AQ519" s="45">
        <f t="shared" si="2661"/>
        <v>0</v>
      </c>
      <c r="AR519" s="45">
        <f t="shared" si="2661"/>
        <v>0</v>
      </c>
      <c r="AS519" s="45">
        <f t="shared" si="2661"/>
        <v>0</v>
      </c>
      <c r="AT519" s="45">
        <f t="shared" si="2661"/>
        <v>0</v>
      </c>
      <c r="AU519" s="45">
        <f t="shared" si="2661"/>
        <v>0</v>
      </c>
      <c r="AV519" s="45">
        <f t="shared" si="2661"/>
        <v>0</v>
      </c>
      <c r="AW519" s="45">
        <f t="shared" si="2661"/>
        <v>0</v>
      </c>
      <c r="AX519" s="45">
        <f t="shared" si="2661"/>
        <v>0</v>
      </c>
      <c r="AY519" s="45">
        <f t="shared" si="2661"/>
        <v>0</v>
      </c>
      <c r="AZ519" s="45">
        <f t="shared" si="2661"/>
        <v>0</v>
      </c>
      <c r="BA519" s="45">
        <f t="shared" si="2661"/>
        <v>0</v>
      </c>
      <c r="BB519" s="45">
        <f t="shared" si="2661"/>
        <v>0</v>
      </c>
      <c r="BC519" s="45">
        <f t="shared" si="2661"/>
        <v>0</v>
      </c>
      <c r="BD519" s="45">
        <f t="shared" si="2661"/>
        <v>0</v>
      </c>
      <c r="BE519" s="45">
        <f t="shared" si="2661"/>
        <v>0</v>
      </c>
      <c r="BF519" s="45">
        <f t="shared" si="2661"/>
        <v>0</v>
      </c>
      <c r="BG519" s="45">
        <f t="shared" si="2661"/>
        <v>0</v>
      </c>
      <c r="BH519" s="45">
        <f t="shared" si="2661"/>
        <v>0</v>
      </c>
      <c r="BI519" s="45">
        <f t="shared" si="2661"/>
        <v>0</v>
      </c>
      <c r="BJ519" s="45">
        <f t="shared" si="2661"/>
        <v>0</v>
      </c>
      <c r="BK519" s="45">
        <f t="shared" si="2661"/>
        <v>0</v>
      </c>
      <c r="BL519" s="45">
        <f t="shared" si="2661"/>
        <v>0</v>
      </c>
      <c r="BM519" s="45">
        <f t="shared" si="2661"/>
        <v>0</v>
      </c>
      <c r="BN519" s="45">
        <f t="shared" si="2661"/>
        <v>0</v>
      </c>
      <c r="BO519" s="45">
        <f t="shared" si="2661"/>
        <v>0</v>
      </c>
      <c r="BP519" s="45">
        <f t="shared" si="2661"/>
        <v>0</v>
      </c>
      <c r="BQ519" s="45">
        <f t="shared" si="2661"/>
        <v>0</v>
      </c>
      <c r="BR519" s="45">
        <f t="shared" si="2661"/>
        <v>0</v>
      </c>
      <c r="BS519" s="45">
        <f t="shared" si="2661"/>
        <v>0</v>
      </c>
      <c r="BT519" s="45">
        <f t="shared" si="2661"/>
        <v>0</v>
      </c>
      <c r="BU519" s="45">
        <f t="shared" si="2661"/>
        <v>0</v>
      </c>
      <c r="BV519" s="45">
        <f t="shared" si="2661"/>
        <v>0</v>
      </c>
      <c r="BW519" s="45">
        <f t="shared" si="2661"/>
        <v>0</v>
      </c>
      <c r="BX519" s="51"/>
      <c r="BY519" s="51"/>
      <c r="BZ519" s="51"/>
      <c r="CA519" s="51"/>
      <c r="CB519" s="51"/>
      <c r="CC519" s="51"/>
      <c r="CD519" s="51"/>
      <c r="CE519" s="51"/>
      <c r="CF519" s="51"/>
      <c r="CG519" s="51"/>
    </row>
    <row r="520" spans="1:85" ht="15.75" customHeight="1">
      <c r="A520" s="121"/>
      <c r="B520" s="121" t="s">
        <v>654</v>
      </c>
      <c r="C520" s="68" t="s">
        <v>138</v>
      </c>
      <c r="D520" s="193" t="s">
        <v>655</v>
      </c>
      <c r="E520" s="99">
        <v>0</v>
      </c>
      <c r="F520" s="99">
        <v>0</v>
      </c>
      <c r="G520" s="58">
        <f t="shared" ref="G520:G521" si="2662">E520-F520</f>
        <v>0</v>
      </c>
      <c r="H520" s="57">
        <v>0</v>
      </c>
      <c r="I520" s="59">
        <f t="shared" si="2394"/>
        <v>0</v>
      </c>
      <c r="J520" s="59">
        <f t="shared" si="2395"/>
        <v>0</v>
      </c>
      <c r="K520" s="60">
        <v>0</v>
      </c>
      <c r="L520" s="100">
        <v>2846.6</v>
      </c>
      <c r="M520" s="100">
        <v>0</v>
      </c>
      <c r="N520" s="60">
        <v>0</v>
      </c>
      <c r="O520" s="61">
        <f t="shared" ref="O520:Q520" si="2663">AA520+AD520+AG520+AJ520+AM520+AP520+AS520+AV520+AY520+BB520+BE520+BH520</f>
        <v>0</v>
      </c>
      <c r="P520" s="61">
        <f t="shared" si="2663"/>
        <v>2846.6</v>
      </c>
      <c r="Q520" s="61">
        <f t="shared" si="2663"/>
        <v>0</v>
      </c>
      <c r="R520" s="61">
        <f t="shared" ref="R520:T520" si="2664">IF(BK520=0,SUM(AA520+AD520+AG520+AJ520+AM520+AP520+AS520+AV520+AY520+BB520+BE520+BH520),BK520)</f>
        <v>0</v>
      </c>
      <c r="S520" s="61">
        <f t="shared" si="2664"/>
        <v>2846.6</v>
      </c>
      <c r="T520" s="61">
        <f t="shared" si="2664"/>
        <v>0</v>
      </c>
      <c r="U520" s="63">
        <f t="shared" ref="U520:U521" si="2665">K520-O520</f>
        <v>0</v>
      </c>
      <c r="V520" s="63">
        <f t="shared" ref="V520:V521" si="2666">L520-M520-S520</f>
        <v>0</v>
      </c>
      <c r="W520" s="208">
        <f t="shared" ref="W520:W521" si="2667">N520-Q520</f>
        <v>0</v>
      </c>
      <c r="X520" s="64">
        <f t="shared" ref="X520:Y520" si="2668">IF(O520&gt;0,O520/K520,0)</f>
        <v>0</v>
      </c>
      <c r="Y520" s="64">
        <f t="shared" si="2668"/>
        <v>1</v>
      </c>
      <c r="Z520" s="64">
        <f t="shared" si="2399"/>
        <v>0</v>
      </c>
      <c r="AA520" s="65"/>
      <c r="AB520" s="65"/>
      <c r="AC520" s="65"/>
      <c r="AD520" s="65"/>
      <c r="AE520" s="66"/>
      <c r="AF520" s="66"/>
      <c r="AG520" s="66"/>
      <c r="AH520" s="66">
        <f>25.38+2821.22</f>
        <v>2846.6</v>
      </c>
      <c r="AI520" s="65"/>
      <c r="AJ520" s="65"/>
      <c r="AK520" s="65"/>
      <c r="AL520" s="65"/>
      <c r="AM520" s="65"/>
      <c r="AN520" s="65"/>
      <c r="AO520" s="65"/>
      <c r="AP520" s="65"/>
      <c r="AQ520" s="65"/>
      <c r="AR520" s="65"/>
      <c r="AS520" s="65"/>
      <c r="AT520" s="65"/>
      <c r="AU520" s="65"/>
      <c r="AV520" s="65"/>
      <c r="AW520" s="65"/>
      <c r="AX520" s="65"/>
      <c r="AY520" s="65"/>
      <c r="AZ520" s="65"/>
      <c r="BA520" s="65"/>
      <c r="BB520" s="65"/>
      <c r="BC520" s="65"/>
      <c r="BD520" s="65"/>
      <c r="BE520" s="65"/>
      <c r="BF520" s="65"/>
      <c r="BG520" s="65"/>
      <c r="BH520" s="65"/>
      <c r="BI520" s="65"/>
      <c r="BJ520" s="65"/>
      <c r="BK520" s="65">
        <v>0</v>
      </c>
      <c r="BL520" s="65">
        <v>0</v>
      </c>
      <c r="BM520" s="65">
        <v>0</v>
      </c>
      <c r="BN520" s="65">
        <f t="shared" ref="BN520:BN521" si="2669">IF(O520-BK520&gt;0,O520-BK520,0)</f>
        <v>0</v>
      </c>
      <c r="BO520" s="67">
        <f t="shared" ref="BO520:BO521" si="2670">IF(Q520-BM520&gt;0,Q520-BM520,0)</f>
        <v>0</v>
      </c>
      <c r="BP520" s="65">
        <f t="shared" ref="BP520:BP521" si="2671">IF(BN520+BO520&gt;0,BN520+BO520,0)</f>
        <v>0</v>
      </c>
      <c r="BQ520" s="65">
        <f t="shared" ref="BQ520:BQ521" si="2672">IF(U520=0,0,U520)</f>
        <v>0</v>
      </c>
      <c r="BR520" s="65">
        <f t="shared" ref="BR520:BR521" si="2673">IF(W520=0,0,W520)</f>
        <v>0</v>
      </c>
      <c r="BS520" s="65">
        <f t="shared" ref="BS520:BS521" si="2674">IF(BQ520+BR520&gt;0,BQ520+BR520,0)</f>
        <v>0</v>
      </c>
      <c r="BT520" s="65">
        <f t="shared" ref="BT520:BT521" si="2675">IF(V520&gt;0,V520,0)</f>
        <v>0</v>
      </c>
      <c r="BU520" s="65">
        <f t="shared" ref="BU520:BU521" si="2676">IF(BP520=0,0,BP520)</f>
        <v>0</v>
      </c>
      <c r="BV520" s="65">
        <f t="shared" ref="BV520:BV521" si="2677">IF(BS520=0,0,BS520)</f>
        <v>0</v>
      </c>
      <c r="BW520" s="65">
        <f t="shared" ref="BW520:BW521" si="2678">IF(BP520+BT520+BV520&gt;0,BP520+BT520+BV520,0)</f>
        <v>0</v>
      </c>
      <c r="BX520" s="6"/>
      <c r="BY520" s="6"/>
      <c r="BZ520" s="6"/>
      <c r="CA520" s="6"/>
      <c r="CB520" s="6"/>
      <c r="CC520" s="6"/>
      <c r="CD520" s="6"/>
      <c r="CE520" s="6"/>
      <c r="CF520" s="6"/>
      <c r="CG520" s="6"/>
    </row>
    <row r="521" spans="1:85" ht="15.75" customHeight="1">
      <c r="A521" s="104" t="s">
        <v>604</v>
      </c>
      <c r="B521" s="121" t="s">
        <v>605</v>
      </c>
      <c r="C521" s="68" t="s">
        <v>602</v>
      </c>
      <c r="D521" s="70" t="s">
        <v>656</v>
      </c>
      <c r="E521" s="99">
        <v>0</v>
      </c>
      <c r="F521" s="99">
        <v>0</v>
      </c>
      <c r="G521" s="58">
        <f t="shared" si="2662"/>
        <v>0</v>
      </c>
      <c r="H521" s="57">
        <v>0</v>
      </c>
      <c r="I521" s="59">
        <f t="shared" si="2394"/>
        <v>0</v>
      </c>
      <c r="J521" s="59">
        <f t="shared" si="2395"/>
        <v>0</v>
      </c>
      <c r="K521" s="74">
        <v>0</v>
      </c>
      <c r="L521" s="74">
        <v>0</v>
      </c>
      <c r="M521" s="74">
        <v>0</v>
      </c>
      <c r="N521" s="74">
        <v>0</v>
      </c>
      <c r="O521" s="61">
        <f t="shared" ref="O521:Q521" si="2679">AA521+AD521+AG521+AJ521+AM521+AP521+AS521+AV521+AY521+BB521+BE521+BH521</f>
        <v>0</v>
      </c>
      <c r="P521" s="61">
        <f t="shared" si="2679"/>
        <v>0</v>
      </c>
      <c r="Q521" s="61">
        <f t="shared" si="2679"/>
        <v>0</v>
      </c>
      <c r="R521" s="61">
        <f t="shared" ref="R521:T521" si="2680">IF(BK521=0,SUM(AA521+AD521+AG521+AJ521+AM521+AP521+AS521+AV521+AY521+BB521+BE521+BH521),BK521)</f>
        <v>0</v>
      </c>
      <c r="S521" s="61">
        <f t="shared" si="2680"/>
        <v>0</v>
      </c>
      <c r="T521" s="61">
        <f t="shared" si="2680"/>
        <v>0</v>
      </c>
      <c r="U521" s="63">
        <f t="shared" si="2665"/>
        <v>0</v>
      </c>
      <c r="V521" s="63">
        <f t="shared" si="2666"/>
        <v>0</v>
      </c>
      <c r="W521" s="208">
        <f t="shared" si="2667"/>
        <v>0</v>
      </c>
      <c r="X521" s="64">
        <f t="shared" ref="X521:Y521" si="2681">IF(O521&gt;0,O521/K521,0)</f>
        <v>0</v>
      </c>
      <c r="Y521" s="64">
        <f t="shared" si="2681"/>
        <v>0</v>
      </c>
      <c r="Z521" s="64">
        <f t="shared" si="2399"/>
        <v>0</v>
      </c>
      <c r="AA521" s="65"/>
      <c r="AB521" s="65"/>
      <c r="AC521" s="65"/>
      <c r="AD521" s="65"/>
      <c r="AE521" s="66"/>
      <c r="AF521" s="66"/>
      <c r="AG521" s="66"/>
      <c r="AH521" s="66"/>
      <c r="AI521" s="65"/>
      <c r="AJ521" s="65"/>
      <c r="AK521" s="65"/>
      <c r="AL521" s="65"/>
      <c r="AM521" s="65"/>
      <c r="AN521" s="65"/>
      <c r="AO521" s="65"/>
      <c r="AP521" s="65"/>
      <c r="AQ521" s="65"/>
      <c r="AR521" s="65"/>
      <c r="AS521" s="65"/>
      <c r="AT521" s="65"/>
      <c r="AU521" s="65"/>
      <c r="AV521" s="65"/>
      <c r="AW521" s="65"/>
      <c r="AX521" s="65"/>
      <c r="AY521" s="65"/>
      <c r="AZ521" s="65"/>
      <c r="BA521" s="65"/>
      <c r="BB521" s="65"/>
      <c r="BC521" s="65"/>
      <c r="BD521" s="65"/>
      <c r="BE521" s="65"/>
      <c r="BF521" s="65"/>
      <c r="BG521" s="65"/>
      <c r="BH521" s="65"/>
      <c r="BI521" s="65"/>
      <c r="BJ521" s="65"/>
      <c r="BK521" s="65">
        <v>0</v>
      </c>
      <c r="BL521" s="65">
        <v>0</v>
      </c>
      <c r="BM521" s="65">
        <v>0</v>
      </c>
      <c r="BN521" s="65">
        <f t="shared" si="2669"/>
        <v>0</v>
      </c>
      <c r="BO521" s="67">
        <f t="shared" si="2670"/>
        <v>0</v>
      </c>
      <c r="BP521" s="65">
        <f t="shared" si="2671"/>
        <v>0</v>
      </c>
      <c r="BQ521" s="65">
        <f t="shared" si="2672"/>
        <v>0</v>
      </c>
      <c r="BR521" s="65">
        <f t="shared" si="2673"/>
        <v>0</v>
      </c>
      <c r="BS521" s="65">
        <f t="shared" si="2674"/>
        <v>0</v>
      </c>
      <c r="BT521" s="65">
        <f t="shared" si="2675"/>
        <v>0</v>
      </c>
      <c r="BU521" s="65">
        <f t="shared" si="2676"/>
        <v>0</v>
      </c>
      <c r="BV521" s="65">
        <f t="shared" si="2677"/>
        <v>0</v>
      </c>
      <c r="BW521" s="65">
        <f t="shared" si="2678"/>
        <v>0</v>
      </c>
      <c r="BX521" s="6"/>
      <c r="BY521" s="6"/>
      <c r="BZ521" s="6"/>
      <c r="CA521" s="6"/>
      <c r="CB521" s="6"/>
      <c r="CC521" s="6"/>
      <c r="CD521" s="6"/>
      <c r="CE521" s="6"/>
      <c r="CF521" s="6"/>
      <c r="CG521" s="6"/>
    </row>
    <row r="522" spans="1:85" ht="15.75">
      <c r="A522" s="75"/>
      <c r="B522" s="76"/>
      <c r="C522" s="77"/>
      <c r="D522" s="44" t="s">
        <v>168</v>
      </c>
      <c r="E522" s="45">
        <f t="shared" ref="E522:H522" si="2682">SUM(E523)</f>
        <v>0</v>
      </c>
      <c r="F522" s="45">
        <f t="shared" si="2682"/>
        <v>0</v>
      </c>
      <c r="G522" s="45">
        <f t="shared" si="2682"/>
        <v>0</v>
      </c>
      <c r="H522" s="45">
        <f t="shared" si="2682"/>
        <v>250000</v>
      </c>
      <c r="I522" s="47">
        <f t="shared" si="2394"/>
        <v>0</v>
      </c>
      <c r="J522" s="47">
        <f t="shared" si="2395"/>
        <v>0</v>
      </c>
      <c r="K522" s="45">
        <f t="shared" ref="K522:W522" si="2683">SUM(K523)</f>
        <v>0</v>
      </c>
      <c r="L522" s="45">
        <f t="shared" si="2683"/>
        <v>0</v>
      </c>
      <c r="M522" s="45">
        <f t="shared" si="2683"/>
        <v>0</v>
      </c>
      <c r="N522" s="45">
        <f t="shared" si="2683"/>
        <v>0</v>
      </c>
      <c r="O522" s="45">
        <f t="shared" si="2683"/>
        <v>0</v>
      </c>
      <c r="P522" s="45">
        <f t="shared" si="2683"/>
        <v>0</v>
      </c>
      <c r="Q522" s="45">
        <f t="shared" si="2683"/>
        <v>0</v>
      </c>
      <c r="R522" s="45">
        <f t="shared" si="2683"/>
        <v>0</v>
      </c>
      <c r="S522" s="45">
        <f t="shared" si="2683"/>
        <v>0</v>
      </c>
      <c r="T522" s="45">
        <f t="shared" si="2683"/>
        <v>0</v>
      </c>
      <c r="U522" s="45">
        <f t="shared" si="2683"/>
        <v>0</v>
      </c>
      <c r="V522" s="45">
        <f t="shared" si="2683"/>
        <v>0</v>
      </c>
      <c r="W522" s="45">
        <f t="shared" si="2683"/>
        <v>0</v>
      </c>
      <c r="X522" s="50">
        <f t="shared" ref="X522:Y522" si="2684">IF(O522&gt;0,O522/K522,0)</f>
        <v>0</v>
      </c>
      <c r="Y522" s="50">
        <f t="shared" si="2684"/>
        <v>0</v>
      </c>
      <c r="Z522" s="50">
        <f t="shared" si="2399"/>
        <v>0</v>
      </c>
      <c r="AA522" s="45">
        <f t="shared" ref="AA522:BW522" si="2685">SUM(AA523)</f>
        <v>0</v>
      </c>
      <c r="AB522" s="45">
        <f t="shared" si="2685"/>
        <v>0</v>
      </c>
      <c r="AC522" s="45">
        <f t="shared" si="2685"/>
        <v>0</v>
      </c>
      <c r="AD522" s="45">
        <f t="shared" si="2685"/>
        <v>0</v>
      </c>
      <c r="AE522" s="45">
        <f t="shared" si="2685"/>
        <v>0</v>
      </c>
      <c r="AF522" s="45">
        <f t="shared" si="2685"/>
        <v>0</v>
      </c>
      <c r="AG522" s="45">
        <f t="shared" si="2685"/>
        <v>0</v>
      </c>
      <c r="AH522" s="45">
        <f t="shared" si="2685"/>
        <v>0</v>
      </c>
      <c r="AI522" s="45">
        <f t="shared" si="2685"/>
        <v>0</v>
      </c>
      <c r="AJ522" s="45">
        <f t="shared" si="2685"/>
        <v>0</v>
      </c>
      <c r="AK522" s="45">
        <f t="shared" si="2685"/>
        <v>0</v>
      </c>
      <c r="AL522" s="45">
        <f t="shared" si="2685"/>
        <v>0</v>
      </c>
      <c r="AM522" s="45">
        <f t="shared" si="2685"/>
        <v>0</v>
      </c>
      <c r="AN522" s="45">
        <f t="shared" si="2685"/>
        <v>0</v>
      </c>
      <c r="AO522" s="45">
        <f t="shared" si="2685"/>
        <v>0</v>
      </c>
      <c r="AP522" s="45">
        <f t="shared" si="2685"/>
        <v>0</v>
      </c>
      <c r="AQ522" s="45">
        <f t="shared" si="2685"/>
        <v>0</v>
      </c>
      <c r="AR522" s="45">
        <f t="shared" si="2685"/>
        <v>0</v>
      </c>
      <c r="AS522" s="45">
        <f t="shared" si="2685"/>
        <v>0</v>
      </c>
      <c r="AT522" s="45">
        <f t="shared" si="2685"/>
        <v>0</v>
      </c>
      <c r="AU522" s="45">
        <f t="shared" si="2685"/>
        <v>0</v>
      </c>
      <c r="AV522" s="45">
        <f t="shared" si="2685"/>
        <v>0</v>
      </c>
      <c r="AW522" s="45">
        <f t="shared" si="2685"/>
        <v>0</v>
      </c>
      <c r="AX522" s="45">
        <f t="shared" si="2685"/>
        <v>0</v>
      </c>
      <c r="AY522" s="45">
        <f t="shared" si="2685"/>
        <v>0</v>
      </c>
      <c r="AZ522" s="45">
        <f t="shared" si="2685"/>
        <v>0</v>
      </c>
      <c r="BA522" s="45">
        <f t="shared" si="2685"/>
        <v>0</v>
      </c>
      <c r="BB522" s="45">
        <f t="shared" si="2685"/>
        <v>0</v>
      </c>
      <c r="BC522" s="45">
        <f t="shared" si="2685"/>
        <v>0</v>
      </c>
      <c r="BD522" s="45">
        <f t="shared" si="2685"/>
        <v>0</v>
      </c>
      <c r="BE522" s="45">
        <f t="shared" si="2685"/>
        <v>0</v>
      </c>
      <c r="BF522" s="45">
        <f t="shared" si="2685"/>
        <v>0</v>
      </c>
      <c r="BG522" s="45">
        <f t="shared" si="2685"/>
        <v>0</v>
      </c>
      <c r="BH522" s="45">
        <f t="shared" si="2685"/>
        <v>0</v>
      </c>
      <c r="BI522" s="45">
        <f t="shared" si="2685"/>
        <v>0</v>
      </c>
      <c r="BJ522" s="45">
        <f t="shared" si="2685"/>
        <v>0</v>
      </c>
      <c r="BK522" s="45">
        <f t="shared" si="2685"/>
        <v>0</v>
      </c>
      <c r="BL522" s="45">
        <f t="shared" si="2685"/>
        <v>0</v>
      </c>
      <c r="BM522" s="45">
        <f t="shared" si="2685"/>
        <v>0</v>
      </c>
      <c r="BN522" s="45">
        <f t="shared" si="2685"/>
        <v>0</v>
      </c>
      <c r="BO522" s="45">
        <f t="shared" si="2685"/>
        <v>0</v>
      </c>
      <c r="BP522" s="45">
        <f t="shared" si="2685"/>
        <v>0</v>
      </c>
      <c r="BQ522" s="45">
        <f t="shared" si="2685"/>
        <v>0</v>
      </c>
      <c r="BR522" s="45">
        <f t="shared" si="2685"/>
        <v>0</v>
      </c>
      <c r="BS522" s="45">
        <f t="shared" si="2685"/>
        <v>0</v>
      </c>
      <c r="BT522" s="45">
        <f t="shared" si="2685"/>
        <v>0</v>
      </c>
      <c r="BU522" s="45">
        <f t="shared" si="2685"/>
        <v>0</v>
      </c>
      <c r="BV522" s="45">
        <f t="shared" si="2685"/>
        <v>0</v>
      </c>
      <c r="BW522" s="45">
        <f t="shared" si="2685"/>
        <v>0</v>
      </c>
      <c r="BX522" s="51"/>
      <c r="BY522" s="51"/>
      <c r="BZ522" s="51"/>
      <c r="CA522" s="51"/>
      <c r="CB522" s="51"/>
      <c r="CC522" s="51"/>
      <c r="CD522" s="51"/>
      <c r="CE522" s="51"/>
      <c r="CF522" s="51"/>
      <c r="CG522" s="51"/>
    </row>
    <row r="523" spans="1:85" ht="15.75" customHeight="1">
      <c r="A523" s="121"/>
      <c r="B523" s="121"/>
      <c r="C523" s="176" t="s">
        <v>174</v>
      </c>
      <c r="D523" s="171" t="s">
        <v>657</v>
      </c>
      <c r="E523" s="99">
        <v>0</v>
      </c>
      <c r="F523" s="99">
        <v>0</v>
      </c>
      <c r="G523" s="58">
        <f>E523-F523</f>
        <v>0</v>
      </c>
      <c r="H523" s="56">
        <v>250000</v>
      </c>
      <c r="I523" s="59">
        <f t="shared" si="2394"/>
        <v>0</v>
      </c>
      <c r="J523" s="59">
        <f t="shared" si="2395"/>
        <v>0</v>
      </c>
      <c r="K523" s="60">
        <v>0</v>
      </c>
      <c r="L523" s="100">
        <v>0</v>
      </c>
      <c r="M523" s="100">
        <v>0</v>
      </c>
      <c r="N523" s="60">
        <v>0</v>
      </c>
      <c r="O523" s="61">
        <f t="shared" ref="O523:Q523" si="2686">AA523+AD523+AG523+AJ523+AM523+AP523+AS523+AV523+AY523+BB523+BE523+BH523</f>
        <v>0</v>
      </c>
      <c r="P523" s="61">
        <f t="shared" si="2686"/>
        <v>0</v>
      </c>
      <c r="Q523" s="61">
        <f t="shared" si="2686"/>
        <v>0</v>
      </c>
      <c r="R523" s="61">
        <f t="shared" ref="R523:T523" si="2687">IF(BK523=0,SUM(AA523+AD523+AG523+AJ523+AM523+AP523+AS523+AV523+AY523+BB523+BE523+BH523),BK523)</f>
        <v>0</v>
      </c>
      <c r="S523" s="61">
        <f t="shared" si="2687"/>
        <v>0</v>
      </c>
      <c r="T523" s="61">
        <f t="shared" si="2687"/>
        <v>0</v>
      </c>
      <c r="U523" s="63">
        <f>K523-O523</f>
        <v>0</v>
      </c>
      <c r="V523" s="63">
        <f>L523-M523-S523</f>
        <v>0</v>
      </c>
      <c r="W523" s="208">
        <f>N523-Q523</f>
        <v>0</v>
      </c>
      <c r="X523" s="64">
        <f t="shared" ref="X523:Y523" si="2688">IF(O523&gt;0,O523/K523,0)</f>
        <v>0</v>
      </c>
      <c r="Y523" s="64">
        <f t="shared" si="2688"/>
        <v>0</v>
      </c>
      <c r="Z523" s="64">
        <f t="shared" si="2399"/>
        <v>0</v>
      </c>
      <c r="AA523" s="65"/>
      <c r="AB523" s="65"/>
      <c r="AC523" s="65"/>
      <c r="AD523" s="65"/>
      <c r="AE523" s="66"/>
      <c r="AF523" s="66"/>
      <c r="AG523" s="66"/>
      <c r="AH523" s="66"/>
      <c r="AI523" s="65"/>
      <c r="AJ523" s="65"/>
      <c r="AK523" s="65"/>
      <c r="AL523" s="65"/>
      <c r="AM523" s="65"/>
      <c r="AN523" s="65"/>
      <c r="AO523" s="65"/>
      <c r="AP523" s="65"/>
      <c r="AQ523" s="65"/>
      <c r="AR523" s="65"/>
      <c r="AS523" s="65"/>
      <c r="AT523" s="65"/>
      <c r="AU523" s="65"/>
      <c r="AV523" s="65"/>
      <c r="AW523" s="65"/>
      <c r="AX523" s="65"/>
      <c r="AY523" s="65"/>
      <c r="AZ523" s="65"/>
      <c r="BA523" s="65"/>
      <c r="BB523" s="65"/>
      <c r="BC523" s="65"/>
      <c r="BD523" s="65"/>
      <c r="BE523" s="65"/>
      <c r="BF523" s="65"/>
      <c r="BG523" s="65"/>
      <c r="BH523" s="65"/>
      <c r="BI523" s="65"/>
      <c r="BJ523" s="65"/>
      <c r="BK523" s="65">
        <v>0</v>
      </c>
      <c r="BL523" s="65">
        <v>0</v>
      </c>
      <c r="BM523" s="65">
        <v>0</v>
      </c>
      <c r="BN523" s="65">
        <f>IF(O523-BK523&gt;0,O523-BK523,0)</f>
        <v>0</v>
      </c>
      <c r="BO523" s="67">
        <f>IF(Q523-BM523&gt;0,Q523-BM523,0)</f>
        <v>0</v>
      </c>
      <c r="BP523" s="65">
        <f>IF(BN523+BO523&gt;0,BN523+BO523,0)</f>
        <v>0</v>
      </c>
      <c r="BQ523" s="65">
        <f>IF(U523=0,0,U523)</f>
        <v>0</v>
      </c>
      <c r="BR523" s="65">
        <f>IF(W523=0,0,W523)</f>
        <v>0</v>
      </c>
      <c r="BS523" s="65">
        <f>IF(BQ523+BR523&gt;0,BQ523+BR523,0)</f>
        <v>0</v>
      </c>
      <c r="BT523" s="65">
        <f>IF(V523&gt;0,V523,0)</f>
        <v>0</v>
      </c>
      <c r="BU523" s="65">
        <f>IF(BP523=0,0,BP523)</f>
        <v>0</v>
      </c>
      <c r="BV523" s="65">
        <f>IF(BS523=0,0,BS523)</f>
        <v>0</v>
      </c>
      <c r="BW523" s="65">
        <f>IF(BP523+BT523+BV523&gt;0,BP523+BT523+BV523,0)</f>
        <v>0</v>
      </c>
      <c r="BX523" s="6"/>
      <c r="BY523" s="6"/>
      <c r="BZ523" s="6"/>
      <c r="CA523" s="6"/>
      <c r="CB523" s="6"/>
      <c r="CC523" s="6"/>
      <c r="CD523" s="6"/>
      <c r="CE523" s="6"/>
      <c r="CF523" s="6"/>
      <c r="CG523" s="6"/>
    </row>
    <row r="524" spans="1:85" ht="15.75" customHeight="1">
      <c r="A524" s="260"/>
      <c r="B524" s="261"/>
      <c r="C524" s="262"/>
      <c r="D524" s="78" t="s">
        <v>264</v>
      </c>
      <c r="E524" s="45">
        <f t="shared" ref="E524:H524" si="2689">SUM(E525)</f>
        <v>0</v>
      </c>
      <c r="F524" s="45">
        <f t="shared" si="2689"/>
        <v>0</v>
      </c>
      <c r="G524" s="45">
        <f t="shared" si="2689"/>
        <v>0</v>
      </c>
      <c r="H524" s="45">
        <f t="shared" si="2689"/>
        <v>200000</v>
      </c>
      <c r="I524" s="47">
        <f t="shared" si="2394"/>
        <v>0</v>
      </c>
      <c r="J524" s="47">
        <f t="shared" si="2395"/>
        <v>0</v>
      </c>
      <c r="K524" s="45">
        <f t="shared" ref="K524:W524" si="2690">SUM(K525)</f>
        <v>0</v>
      </c>
      <c r="L524" s="45">
        <f t="shared" si="2690"/>
        <v>0</v>
      </c>
      <c r="M524" s="45">
        <f t="shared" si="2690"/>
        <v>0</v>
      </c>
      <c r="N524" s="45">
        <f t="shared" si="2690"/>
        <v>0</v>
      </c>
      <c r="O524" s="45">
        <f t="shared" si="2690"/>
        <v>0</v>
      </c>
      <c r="P524" s="45">
        <f t="shared" si="2690"/>
        <v>0</v>
      </c>
      <c r="Q524" s="45">
        <f t="shared" si="2690"/>
        <v>0</v>
      </c>
      <c r="R524" s="45">
        <f t="shared" si="2690"/>
        <v>0</v>
      </c>
      <c r="S524" s="45">
        <f t="shared" si="2690"/>
        <v>0</v>
      </c>
      <c r="T524" s="45">
        <f t="shared" si="2690"/>
        <v>0</v>
      </c>
      <c r="U524" s="45">
        <f t="shared" si="2690"/>
        <v>0</v>
      </c>
      <c r="V524" s="45">
        <f t="shared" si="2690"/>
        <v>0</v>
      </c>
      <c r="W524" s="45">
        <f t="shared" si="2690"/>
        <v>0</v>
      </c>
      <c r="X524" s="50">
        <f t="shared" ref="X524:Y524" si="2691">IF(O524&gt;0,O524/K524,0)</f>
        <v>0</v>
      </c>
      <c r="Y524" s="50">
        <f t="shared" si="2691"/>
        <v>0</v>
      </c>
      <c r="Z524" s="50">
        <f t="shared" si="2399"/>
        <v>0</v>
      </c>
      <c r="AA524" s="45">
        <f t="shared" ref="AA524:BW524" si="2692">SUM(AA525)</f>
        <v>0</v>
      </c>
      <c r="AB524" s="45">
        <f t="shared" si="2692"/>
        <v>0</v>
      </c>
      <c r="AC524" s="45">
        <f t="shared" si="2692"/>
        <v>0</v>
      </c>
      <c r="AD524" s="45">
        <f t="shared" si="2692"/>
        <v>0</v>
      </c>
      <c r="AE524" s="45">
        <f t="shared" si="2692"/>
        <v>0</v>
      </c>
      <c r="AF524" s="45">
        <f t="shared" si="2692"/>
        <v>0</v>
      </c>
      <c r="AG524" s="45">
        <f t="shared" si="2692"/>
        <v>0</v>
      </c>
      <c r="AH524" s="45">
        <f t="shared" si="2692"/>
        <v>0</v>
      </c>
      <c r="AI524" s="45">
        <f t="shared" si="2692"/>
        <v>0</v>
      </c>
      <c r="AJ524" s="45">
        <f t="shared" si="2692"/>
        <v>0</v>
      </c>
      <c r="AK524" s="45">
        <f t="shared" si="2692"/>
        <v>0</v>
      </c>
      <c r="AL524" s="45">
        <f t="shared" si="2692"/>
        <v>0</v>
      </c>
      <c r="AM524" s="45">
        <f t="shared" si="2692"/>
        <v>0</v>
      </c>
      <c r="AN524" s="45">
        <f t="shared" si="2692"/>
        <v>0</v>
      </c>
      <c r="AO524" s="45">
        <f t="shared" si="2692"/>
        <v>0</v>
      </c>
      <c r="AP524" s="45">
        <f t="shared" si="2692"/>
        <v>0</v>
      </c>
      <c r="AQ524" s="45">
        <f t="shared" si="2692"/>
        <v>0</v>
      </c>
      <c r="AR524" s="45">
        <f t="shared" si="2692"/>
        <v>0</v>
      </c>
      <c r="AS524" s="45">
        <f t="shared" si="2692"/>
        <v>0</v>
      </c>
      <c r="AT524" s="45">
        <f t="shared" si="2692"/>
        <v>0</v>
      </c>
      <c r="AU524" s="45">
        <f t="shared" si="2692"/>
        <v>0</v>
      </c>
      <c r="AV524" s="45">
        <f t="shared" si="2692"/>
        <v>0</v>
      </c>
      <c r="AW524" s="45">
        <f t="shared" si="2692"/>
        <v>0</v>
      </c>
      <c r="AX524" s="45">
        <f t="shared" si="2692"/>
        <v>0</v>
      </c>
      <c r="AY524" s="45">
        <f t="shared" si="2692"/>
        <v>0</v>
      </c>
      <c r="AZ524" s="45">
        <f t="shared" si="2692"/>
        <v>0</v>
      </c>
      <c r="BA524" s="45">
        <f t="shared" si="2692"/>
        <v>0</v>
      </c>
      <c r="BB524" s="45">
        <f t="shared" si="2692"/>
        <v>0</v>
      </c>
      <c r="BC524" s="45">
        <f t="shared" si="2692"/>
        <v>0</v>
      </c>
      <c r="BD524" s="45">
        <f t="shared" si="2692"/>
        <v>0</v>
      </c>
      <c r="BE524" s="45">
        <f t="shared" si="2692"/>
        <v>0</v>
      </c>
      <c r="BF524" s="45">
        <f t="shared" si="2692"/>
        <v>0</v>
      </c>
      <c r="BG524" s="45">
        <f t="shared" si="2692"/>
        <v>0</v>
      </c>
      <c r="BH524" s="45">
        <f t="shared" si="2692"/>
        <v>0</v>
      </c>
      <c r="BI524" s="45">
        <f t="shared" si="2692"/>
        <v>0</v>
      </c>
      <c r="BJ524" s="45">
        <f t="shared" si="2692"/>
        <v>0</v>
      </c>
      <c r="BK524" s="45">
        <f t="shared" si="2692"/>
        <v>0</v>
      </c>
      <c r="BL524" s="45">
        <f t="shared" si="2692"/>
        <v>0</v>
      </c>
      <c r="BM524" s="45">
        <f t="shared" si="2692"/>
        <v>0</v>
      </c>
      <c r="BN524" s="45">
        <f t="shared" si="2692"/>
        <v>0</v>
      </c>
      <c r="BO524" s="45">
        <f t="shared" si="2692"/>
        <v>0</v>
      </c>
      <c r="BP524" s="45">
        <f t="shared" si="2692"/>
        <v>0</v>
      </c>
      <c r="BQ524" s="45">
        <f t="shared" si="2692"/>
        <v>0</v>
      </c>
      <c r="BR524" s="45">
        <f t="shared" si="2692"/>
        <v>0</v>
      </c>
      <c r="BS524" s="45">
        <f t="shared" si="2692"/>
        <v>0</v>
      </c>
      <c r="BT524" s="45">
        <f t="shared" si="2692"/>
        <v>0</v>
      </c>
      <c r="BU524" s="45">
        <f t="shared" si="2692"/>
        <v>0</v>
      </c>
      <c r="BV524" s="45">
        <f t="shared" si="2692"/>
        <v>0</v>
      </c>
      <c r="BW524" s="45">
        <f t="shared" si="2692"/>
        <v>0</v>
      </c>
      <c r="BX524" s="51"/>
      <c r="BY524" s="51"/>
      <c r="BZ524" s="51"/>
      <c r="CA524" s="51"/>
      <c r="CB524" s="51"/>
      <c r="CC524" s="51"/>
      <c r="CD524" s="51"/>
      <c r="CE524" s="51"/>
      <c r="CF524" s="51"/>
      <c r="CG524" s="51"/>
    </row>
    <row r="525" spans="1:85" ht="15.75" customHeight="1">
      <c r="A525" s="68"/>
      <c r="B525" s="103"/>
      <c r="C525" s="176" t="s">
        <v>494</v>
      </c>
      <c r="D525" s="171" t="s">
        <v>658</v>
      </c>
      <c r="E525" s="99">
        <v>0</v>
      </c>
      <c r="F525" s="99">
        <v>0</v>
      </c>
      <c r="G525" s="58">
        <f>E525-F525</f>
        <v>0</v>
      </c>
      <c r="H525" s="56">
        <v>200000</v>
      </c>
      <c r="I525" s="59">
        <f t="shared" si="2394"/>
        <v>0</v>
      </c>
      <c r="J525" s="59">
        <f t="shared" si="2395"/>
        <v>0</v>
      </c>
      <c r="K525" s="74">
        <v>0</v>
      </c>
      <c r="L525" s="74">
        <v>0</v>
      </c>
      <c r="M525" s="74">
        <v>0</v>
      </c>
      <c r="N525" s="74">
        <v>0</v>
      </c>
      <c r="O525" s="61">
        <f t="shared" ref="O525:Q525" si="2693">AA525+AD525+AG525+AJ525+AM525+AP525+AS525+AV525+AY525+BB525+BE525+BH525</f>
        <v>0</v>
      </c>
      <c r="P525" s="61">
        <f t="shared" si="2693"/>
        <v>0</v>
      </c>
      <c r="Q525" s="61">
        <f t="shared" si="2693"/>
        <v>0</v>
      </c>
      <c r="R525" s="61">
        <f t="shared" ref="R525:T525" si="2694">IF(BK525=0,SUM(AA525+AD525+AG525+AJ525+AM525+AP525+AS525+AV525+AY525+BB525+BE525+BH525),BK525)</f>
        <v>0</v>
      </c>
      <c r="S525" s="61">
        <f t="shared" si="2694"/>
        <v>0</v>
      </c>
      <c r="T525" s="61">
        <f t="shared" si="2694"/>
        <v>0</v>
      </c>
      <c r="U525" s="63">
        <f>K525-O525</f>
        <v>0</v>
      </c>
      <c r="V525" s="63">
        <f>L525-M525-S525</f>
        <v>0</v>
      </c>
      <c r="W525" s="63">
        <f>N525-Q525</f>
        <v>0</v>
      </c>
      <c r="X525" s="64">
        <f t="shared" ref="X525:Y525" si="2695">IF(O525&gt;0,O525/K525,0)</f>
        <v>0</v>
      </c>
      <c r="Y525" s="64">
        <f t="shared" si="2695"/>
        <v>0</v>
      </c>
      <c r="Z525" s="64">
        <f t="shared" si="2399"/>
        <v>0</v>
      </c>
      <c r="AA525" s="65"/>
      <c r="AB525" s="65"/>
      <c r="AC525" s="65"/>
      <c r="AD525" s="65"/>
      <c r="AE525" s="66"/>
      <c r="AF525" s="66"/>
      <c r="AG525" s="66"/>
      <c r="AH525" s="66"/>
      <c r="AI525" s="65"/>
      <c r="AJ525" s="65"/>
      <c r="AK525" s="65"/>
      <c r="AL525" s="65"/>
      <c r="AM525" s="65"/>
      <c r="AN525" s="65"/>
      <c r="AO525" s="65"/>
      <c r="AP525" s="65"/>
      <c r="AQ525" s="65"/>
      <c r="AR525" s="65"/>
      <c r="AS525" s="65"/>
      <c r="AT525" s="65"/>
      <c r="AU525" s="65"/>
      <c r="AV525" s="65"/>
      <c r="AW525" s="65"/>
      <c r="AX525" s="65"/>
      <c r="AY525" s="65"/>
      <c r="AZ525" s="65"/>
      <c r="BA525" s="65"/>
      <c r="BB525" s="65"/>
      <c r="BC525" s="65"/>
      <c r="BD525" s="65"/>
      <c r="BE525" s="65"/>
      <c r="BF525" s="65"/>
      <c r="BG525" s="65"/>
      <c r="BH525" s="65"/>
      <c r="BI525" s="65"/>
      <c r="BJ525" s="65"/>
      <c r="BK525" s="65">
        <v>0</v>
      </c>
      <c r="BL525" s="65">
        <v>0</v>
      </c>
      <c r="BM525" s="65">
        <v>0</v>
      </c>
      <c r="BN525" s="65">
        <f>IF(O525-BK525&gt;0,O525-BK525,0)</f>
        <v>0</v>
      </c>
      <c r="BO525" s="67">
        <f>IF(Q525-BM525&gt;0,Q525-BM525,0)</f>
        <v>0</v>
      </c>
      <c r="BP525" s="65">
        <f>IF(BN525+BO525&gt;0,BN525+BO525,0)</f>
        <v>0</v>
      </c>
      <c r="BQ525" s="65">
        <f>IF(U525=0,0,U525)</f>
        <v>0</v>
      </c>
      <c r="BR525" s="65">
        <f>IF(W525=0,0,W525)</f>
        <v>0</v>
      </c>
      <c r="BS525" s="65">
        <f>IF(BQ525+BR525&gt;0,BQ525+BR525,0)</f>
        <v>0</v>
      </c>
      <c r="BT525" s="65">
        <f>IF(V525&gt;0,V525,0)</f>
        <v>0</v>
      </c>
      <c r="BU525" s="65">
        <f>IF(BP525=0,0,BP525)</f>
        <v>0</v>
      </c>
      <c r="BV525" s="65">
        <f>IF(BS525=0,0,BS525)</f>
        <v>0</v>
      </c>
      <c r="BW525" s="65">
        <f>IF(BP525+BT525+BV525&gt;0,BP525+BT525+BV525,0)</f>
        <v>0</v>
      </c>
      <c r="BX525" s="6"/>
      <c r="BY525" s="6"/>
      <c r="BZ525" s="6"/>
      <c r="CA525" s="6"/>
      <c r="CB525" s="6"/>
      <c r="CC525" s="6"/>
      <c r="CD525" s="6"/>
      <c r="CE525" s="6"/>
      <c r="CF525" s="6"/>
      <c r="CG525" s="6"/>
    </row>
    <row r="526" spans="1:85" ht="15.75">
      <c r="A526" s="75"/>
      <c r="B526" s="76"/>
      <c r="C526" s="77"/>
      <c r="D526" s="78" t="s">
        <v>280</v>
      </c>
      <c r="E526" s="45">
        <f t="shared" ref="E526:H526" si="2696">E527</f>
        <v>0</v>
      </c>
      <c r="F526" s="45">
        <f t="shared" si="2696"/>
        <v>0</v>
      </c>
      <c r="G526" s="45">
        <f t="shared" si="2696"/>
        <v>0</v>
      </c>
      <c r="H526" s="45">
        <f t="shared" si="2696"/>
        <v>1000000</v>
      </c>
      <c r="I526" s="47">
        <f t="shared" si="2394"/>
        <v>0</v>
      </c>
      <c r="J526" s="47">
        <f t="shared" si="2395"/>
        <v>0</v>
      </c>
      <c r="K526" s="45">
        <f t="shared" ref="K526:W526" si="2697">K527</f>
        <v>0</v>
      </c>
      <c r="L526" s="45">
        <f t="shared" si="2697"/>
        <v>0</v>
      </c>
      <c r="M526" s="45">
        <f t="shared" si="2697"/>
        <v>0</v>
      </c>
      <c r="N526" s="45">
        <f t="shared" si="2697"/>
        <v>0</v>
      </c>
      <c r="O526" s="45">
        <f t="shared" si="2697"/>
        <v>0</v>
      </c>
      <c r="P526" s="45">
        <f t="shared" si="2697"/>
        <v>0</v>
      </c>
      <c r="Q526" s="45">
        <f t="shared" si="2697"/>
        <v>0</v>
      </c>
      <c r="R526" s="45">
        <f t="shared" si="2697"/>
        <v>0</v>
      </c>
      <c r="S526" s="45">
        <f t="shared" si="2697"/>
        <v>0</v>
      </c>
      <c r="T526" s="45">
        <f t="shared" si="2697"/>
        <v>0</v>
      </c>
      <c r="U526" s="45">
        <f t="shared" si="2697"/>
        <v>0</v>
      </c>
      <c r="V526" s="45">
        <f t="shared" si="2697"/>
        <v>0</v>
      </c>
      <c r="W526" s="45">
        <f t="shared" si="2697"/>
        <v>0</v>
      </c>
      <c r="X526" s="50">
        <f t="shared" ref="X526:Y526" si="2698">IF(O526&gt;0,O526/K526,0)</f>
        <v>0</v>
      </c>
      <c r="Y526" s="50">
        <f t="shared" si="2698"/>
        <v>0</v>
      </c>
      <c r="Z526" s="50">
        <f t="shared" si="2399"/>
        <v>0</v>
      </c>
      <c r="AA526" s="45">
        <f t="shared" ref="AA526:BW526" si="2699">AA527</f>
        <v>0</v>
      </c>
      <c r="AB526" s="45">
        <f t="shared" si="2699"/>
        <v>0</v>
      </c>
      <c r="AC526" s="45">
        <f t="shared" si="2699"/>
        <v>0</v>
      </c>
      <c r="AD526" s="45">
        <f t="shared" si="2699"/>
        <v>0</v>
      </c>
      <c r="AE526" s="45">
        <f t="shared" si="2699"/>
        <v>0</v>
      </c>
      <c r="AF526" s="45">
        <f t="shared" si="2699"/>
        <v>0</v>
      </c>
      <c r="AG526" s="45">
        <f t="shared" si="2699"/>
        <v>0</v>
      </c>
      <c r="AH526" s="45">
        <f t="shared" si="2699"/>
        <v>0</v>
      </c>
      <c r="AI526" s="45">
        <f t="shared" si="2699"/>
        <v>0</v>
      </c>
      <c r="AJ526" s="45">
        <f t="shared" si="2699"/>
        <v>0</v>
      </c>
      <c r="AK526" s="45">
        <f t="shared" si="2699"/>
        <v>0</v>
      </c>
      <c r="AL526" s="45">
        <f t="shared" si="2699"/>
        <v>0</v>
      </c>
      <c r="AM526" s="45">
        <f t="shared" si="2699"/>
        <v>0</v>
      </c>
      <c r="AN526" s="45">
        <f t="shared" si="2699"/>
        <v>0</v>
      </c>
      <c r="AO526" s="45">
        <f t="shared" si="2699"/>
        <v>0</v>
      </c>
      <c r="AP526" s="45">
        <f t="shared" si="2699"/>
        <v>0</v>
      </c>
      <c r="AQ526" s="45">
        <f t="shared" si="2699"/>
        <v>0</v>
      </c>
      <c r="AR526" s="45">
        <f t="shared" si="2699"/>
        <v>0</v>
      </c>
      <c r="AS526" s="45">
        <f t="shared" si="2699"/>
        <v>0</v>
      </c>
      <c r="AT526" s="45">
        <f t="shared" si="2699"/>
        <v>0</v>
      </c>
      <c r="AU526" s="45">
        <f t="shared" si="2699"/>
        <v>0</v>
      </c>
      <c r="AV526" s="45">
        <f t="shared" si="2699"/>
        <v>0</v>
      </c>
      <c r="AW526" s="45">
        <f t="shared" si="2699"/>
        <v>0</v>
      </c>
      <c r="AX526" s="45">
        <f t="shared" si="2699"/>
        <v>0</v>
      </c>
      <c r="AY526" s="45">
        <f t="shared" si="2699"/>
        <v>0</v>
      </c>
      <c r="AZ526" s="45">
        <f t="shared" si="2699"/>
        <v>0</v>
      </c>
      <c r="BA526" s="45">
        <f t="shared" si="2699"/>
        <v>0</v>
      </c>
      <c r="BB526" s="45">
        <f t="shared" si="2699"/>
        <v>0</v>
      </c>
      <c r="BC526" s="45">
        <f t="shared" si="2699"/>
        <v>0</v>
      </c>
      <c r="BD526" s="45">
        <f t="shared" si="2699"/>
        <v>0</v>
      </c>
      <c r="BE526" s="45">
        <f t="shared" si="2699"/>
        <v>0</v>
      </c>
      <c r="BF526" s="45">
        <f t="shared" si="2699"/>
        <v>0</v>
      </c>
      <c r="BG526" s="45">
        <f t="shared" si="2699"/>
        <v>0</v>
      </c>
      <c r="BH526" s="45">
        <f t="shared" si="2699"/>
        <v>0</v>
      </c>
      <c r="BI526" s="45">
        <f t="shared" si="2699"/>
        <v>0</v>
      </c>
      <c r="BJ526" s="45">
        <f t="shared" si="2699"/>
        <v>0</v>
      </c>
      <c r="BK526" s="45">
        <f t="shared" si="2699"/>
        <v>0</v>
      </c>
      <c r="BL526" s="45">
        <f t="shared" si="2699"/>
        <v>0</v>
      </c>
      <c r="BM526" s="45">
        <f t="shared" si="2699"/>
        <v>0</v>
      </c>
      <c r="BN526" s="45">
        <f t="shared" si="2699"/>
        <v>0</v>
      </c>
      <c r="BO526" s="45">
        <f t="shared" si="2699"/>
        <v>0</v>
      </c>
      <c r="BP526" s="45">
        <f t="shared" si="2699"/>
        <v>0</v>
      </c>
      <c r="BQ526" s="45">
        <f t="shared" si="2699"/>
        <v>0</v>
      </c>
      <c r="BR526" s="45">
        <f t="shared" si="2699"/>
        <v>0</v>
      </c>
      <c r="BS526" s="45">
        <f t="shared" si="2699"/>
        <v>0</v>
      </c>
      <c r="BT526" s="45">
        <f t="shared" si="2699"/>
        <v>0</v>
      </c>
      <c r="BU526" s="45">
        <f t="shared" si="2699"/>
        <v>0</v>
      </c>
      <c r="BV526" s="45">
        <f t="shared" si="2699"/>
        <v>0</v>
      </c>
      <c r="BW526" s="45">
        <f t="shared" si="2699"/>
        <v>0</v>
      </c>
      <c r="BX526" s="51"/>
      <c r="BY526" s="51"/>
      <c r="BZ526" s="51"/>
      <c r="CA526" s="51"/>
      <c r="CB526" s="51"/>
      <c r="CC526" s="51"/>
      <c r="CD526" s="51"/>
      <c r="CE526" s="51"/>
      <c r="CF526" s="51"/>
      <c r="CG526" s="51"/>
    </row>
    <row r="527" spans="1:85" ht="15.75" customHeight="1">
      <c r="A527" s="68"/>
      <c r="B527" s="103"/>
      <c r="C527" s="68" t="s">
        <v>262</v>
      </c>
      <c r="D527" s="70" t="s">
        <v>659</v>
      </c>
      <c r="E527" s="192">
        <v>0</v>
      </c>
      <c r="F527" s="192">
        <v>0</v>
      </c>
      <c r="G527" s="58">
        <f>E527-F527</f>
        <v>0</v>
      </c>
      <c r="H527" s="191">
        <v>1000000</v>
      </c>
      <c r="I527" s="59">
        <f t="shared" si="2394"/>
        <v>0</v>
      </c>
      <c r="J527" s="59">
        <f t="shared" si="2395"/>
        <v>0</v>
      </c>
      <c r="K527" s="74">
        <v>0</v>
      </c>
      <c r="L527" s="74">
        <v>0</v>
      </c>
      <c r="M527" s="74">
        <v>0</v>
      </c>
      <c r="N527" s="74">
        <v>0</v>
      </c>
      <c r="O527" s="61">
        <f t="shared" ref="O527:Q527" si="2700">AA527+AD527+AG527+AJ527+AM527+AP527+AS527+AV527+AY527+BB527+BE527+BH527</f>
        <v>0</v>
      </c>
      <c r="P527" s="61">
        <f t="shared" si="2700"/>
        <v>0</v>
      </c>
      <c r="Q527" s="61">
        <f t="shared" si="2700"/>
        <v>0</v>
      </c>
      <c r="R527" s="61">
        <f t="shared" ref="R527:T527" si="2701">IF(BK527=0,SUM(AA527+AD527+AG527+AJ527+AM527+AP527+AS527+AV527+AY527+BB527+BE527+BH527),BK527)</f>
        <v>0</v>
      </c>
      <c r="S527" s="61">
        <f t="shared" si="2701"/>
        <v>0</v>
      </c>
      <c r="T527" s="61">
        <f t="shared" si="2701"/>
        <v>0</v>
      </c>
      <c r="U527" s="63">
        <f>K527-O527</f>
        <v>0</v>
      </c>
      <c r="V527" s="63">
        <f>L527-M527-S527</f>
        <v>0</v>
      </c>
      <c r="W527" s="63">
        <f>N527-Q527</f>
        <v>0</v>
      </c>
      <c r="X527" s="64">
        <f t="shared" ref="X527:Y527" si="2702">IF(O527&gt;0,O527/K527,0)</f>
        <v>0</v>
      </c>
      <c r="Y527" s="64">
        <f t="shared" si="2702"/>
        <v>0</v>
      </c>
      <c r="Z527" s="64">
        <f t="shared" si="2399"/>
        <v>0</v>
      </c>
      <c r="AA527" s="65"/>
      <c r="AB527" s="65"/>
      <c r="AC527" s="65"/>
      <c r="AD527" s="65"/>
      <c r="AE527" s="66"/>
      <c r="AF527" s="66"/>
      <c r="AG527" s="66"/>
      <c r="AH527" s="66"/>
      <c r="AI527" s="65"/>
      <c r="AJ527" s="65"/>
      <c r="AK527" s="65"/>
      <c r="AL527" s="65"/>
      <c r="AM527" s="65"/>
      <c r="AN527" s="65"/>
      <c r="AO527" s="65"/>
      <c r="AP527" s="65"/>
      <c r="AQ527" s="65"/>
      <c r="AR527" s="65"/>
      <c r="AS527" s="65"/>
      <c r="AT527" s="65"/>
      <c r="AU527" s="65"/>
      <c r="AV527" s="65"/>
      <c r="AW527" s="65"/>
      <c r="AX527" s="65"/>
      <c r="AY527" s="65"/>
      <c r="AZ527" s="65"/>
      <c r="BA527" s="65"/>
      <c r="BB527" s="65"/>
      <c r="BC527" s="65"/>
      <c r="BD527" s="65"/>
      <c r="BE527" s="65"/>
      <c r="BF527" s="65"/>
      <c r="BG527" s="65"/>
      <c r="BH527" s="65"/>
      <c r="BI527" s="65"/>
      <c r="BJ527" s="65"/>
      <c r="BK527" s="65">
        <v>0</v>
      </c>
      <c r="BL527" s="65">
        <v>0</v>
      </c>
      <c r="BM527" s="65">
        <v>0</v>
      </c>
      <c r="BN527" s="65">
        <f>IF(O527-BK527&gt;0,O527-BK527,0)</f>
        <v>0</v>
      </c>
      <c r="BO527" s="67">
        <f>IF(Q527-BM527&gt;0,Q527-BM527,0)</f>
        <v>0</v>
      </c>
      <c r="BP527" s="65">
        <f>IF(BN527+BO527&gt;0,BN527+BO527,0)</f>
        <v>0</v>
      </c>
      <c r="BQ527" s="65">
        <f>IF(U527=0,0,U527)</f>
        <v>0</v>
      </c>
      <c r="BR527" s="65">
        <f>IF(W527=0,0,W527)</f>
        <v>0</v>
      </c>
      <c r="BS527" s="65">
        <f>IF(BQ527+BR527&gt;0,BQ527+BR527,0)</f>
        <v>0</v>
      </c>
      <c r="BT527" s="65">
        <f>IF(V527&gt;0,V527,0)</f>
        <v>0</v>
      </c>
      <c r="BU527" s="65">
        <f>IF(BP527=0,0,BP527)</f>
        <v>0</v>
      </c>
      <c r="BV527" s="65">
        <f>IF(BS527=0,0,BS527)</f>
        <v>0</v>
      </c>
      <c r="BW527" s="65">
        <f>IF(BP527+BT527+BV527&gt;0,BP527+BT527+BV527,0)</f>
        <v>0</v>
      </c>
      <c r="BX527" s="6"/>
      <c r="BY527" s="6"/>
      <c r="BZ527" s="6"/>
      <c r="CA527" s="6"/>
      <c r="CB527" s="6"/>
      <c r="CC527" s="6"/>
      <c r="CD527" s="6"/>
      <c r="CE527" s="6"/>
      <c r="CF527" s="6"/>
      <c r="CG527" s="6"/>
    </row>
    <row r="528" spans="1:85" ht="15.75">
      <c r="A528" s="89"/>
      <c r="B528" s="89"/>
      <c r="C528" s="89"/>
      <c r="D528" s="89"/>
      <c r="E528" s="363"/>
      <c r="F528" s="363"/>
      <c r="G528" s="363"/>
      <c r="H528" s="363"/>
      <c r="I528" s="89"/>
      <c r="J528" s="89"/>
      <c r="K528" s="89"/>
      <c r="L528" s="89"/>
      <c r="M528" s="89"/>
      <c r="N528" s="89"/>
      <c r="O528" s="89"/>
      <c r="P528" s="89"/>
      <c r="Q528" s="89"/>
      <c r="R528" s="89"/>
      <c r="S528" s="89"/>
      <c r="T528" s="89"/>
      <c r="U528" s="363"/>
      <c r="V528" s="363"/>
      <c r="W528" s="89"/>
      <c r="X528" s="89"/>
      <c r="Y528" s="89"/>
      <c r="Z528" s="89"/>
      <c r="AA528" s="89"/>
      <c r="AB528" s="89"/>
      <c r="AC528" s="89"/>
      <c r="AD528" s="89"/>
      <c r="AE528" s="89"/>
      <c r="AF528" s="89"/>
      <c r="AG528" s="89"/>
      <c r="AH528" s="89"/>
      <c r="AI528" s="89"/>
      <c r="AJ528" s="89"/>
      <c r="AK528" s="89"/>
      <c r="AL528" s="89"/>
      <c r="AM528" s="89"/>
      <c r="AN528" s="89"/>
      <c r="AO528" s="89"/>
      <c r="AP528" s="89"/>
      <c r="AQ528" s="89"/>
      <c r="AR528" s="89"/>
      <c r="AS528" s="89"/>
      <c r="AT528" s="89"/>
      <c r="AU528" s="89"/>
      <c r="AV528" s="89"/>
      <c r="AW528" s="89"/>
      <c r="AX528" s="89"/>
      <c r="AY528" s="89"/>
      <c r="AZ528" s="89"/>
      <c r="BA528" s="89"/>
      <c r="BB528" s="89"/>
      <c r="BC528" s="89"/>
      <c r="BD528" s="89"/>
      <c r="BE528" s="89"/>
      <c r="BF528" s="89"/>
      <c r="BG528" s="89"/>
      <c r="BH528" s="89"/>
      <c r="BI528" s="89"/>
      <c r="BJ528" s="89"/>
      <c r="BK528" s="89"/>
      <c r="BL528" s="89"/>
      <c r="BM528" s="89"/>
      <c r="BN528" s="89"/>
      <c r="BO528" s="89"/>
      <c r="BP528" s="89"/>
      <c r="BQ528" s="89"/>
      <c r="BR528" s="89"/>
      <c r="BS528" s="89"/>
      <c r="BT528" s="89"/>
      <c r="BU528" s="89"/>
      <c r="BV528" s="89"/>
      <c r="BW528" s="89"/>
      <c r="BX528" s="89"/>
      <c r="BY528" s="89"/>
      <c r="BZ528" s="89"/>
      <c r="CA528" s="89"/>
      <c r="CB528" s="89"/>
      <c r="CC528" s="89"/>
      <c r="CD528" s="89"/>
      <c r="CE528" s="89"/>
      <c r="CF528" s="89"/>
      <c r="CG528" s="89"/>
    </row>
    <row r="529" spans="1:85" ht="15.75" customHeight="1">
      <c r="A529" s="364"/>
      <c r="B529" s="292" t="s">
        <v>660</v>
      </c>
      <c r="C529" s="292"/>
      <c r="D529" s="294"/>
      <c r="E529" s="31">
        <f t="shared" ref="E529:H529" si="2703">E530+E565+E631</f>
        <v>1603337.5</v>
      </c>
      <c r="F529" s="31">
        <f t="shared" si="2703"/>
        <v>0</v>
      </c>
      <c r="G529" s="31">
        <f t="shared" si="2703"/>
        <v>1603337.5</v>
      </c>
      <c r="H529" s="31">
        <f t="shared" si="2703"/>
        <v>1267000</v>
      </c>
      <c r="I529" s="94">
        <f t="shared" ref="I529:I557" si="2704">IF(G529&gt;0,K529/G529,0)</f>
        <v>0.68898076044500944</v>
      </c>
      <c r="J529" s="94">
        <f t="shared" ref="J529:J760" si="2705">IF(G529&gt;0,O529/G529,0)</f>
        <v>0.37485425869475408</v>
      </c>
      <c r="K529" s="33">
        <f t="shared" ref="K529:W529" si="2706">K530+K565+K631</f>
        <v>1104668.6900000004</v>
      </c>
      <c r="L529" s="33">
        <f t="shared" si="2706"/>
        <v>562265.5</v>
      </c>
      <c r="M529" s="33">
        <f t="shared" si="2706"/>
        <v>0</v>
      </c>
      <c r="N529" s="33">
        <f t="shared" si="2706"/>
        <v>20936.599999999999</v>
      </c>
      <c r="O529" s="33">
        <f t="shared" si="2706"/>
        <v>601017.89000000025</v>
      </c>
      <c r="P529" s="33">
        <f t="shared" si="2706"/>
        <v>522228.73</v>
      </c>
      <c r="Q529" s="33">
        <f t="shared" si="2706"/>
        <v>0</v>
      </c>
      <c r="R529" s="33">
        <f t="shared" si="2706"/>
        <v>601017.89000000025</v>
      </c>
      <c r="S529" s="33">
        <f t="shared" si="2706"/>
        <v>522228.73</v>
      </c>
      <c r="T529" s="33">
        <f t="shared" si="2706"/>
        <v>0</v>
      </c>
      <c r="U529" s="33">
        <f t="shared" si="2706"/>
        <v>503650.8000000001</v>
      </c>
      <c r="V529" s="33">
        <f t="shared" si="2706"/>
        <v>40036.769999999997</v>
      </c>
      <c r="W529" s="33">
        <f t="shared" si="2706"/>
        <v>20936.599999999999</v>
      </c>
      <c r="X529" s="32">
        <f t="shared" ref="X529:Y529" si="2707">IF(O529&gt;0,O529/K529,0)</f>
        <v>0.54407072042568716</v>
      </c>
      <c r="Y529" s="32">
        <f t="shared" si="2707"/>
        <v>0.92879383494096646</v>
      </c>
      <c r="Z529" s="32">
        <f t="shared" ref="Z529:Z620" si="2708">IF(Q529&gt;0,Q529/N529,0)</f>
        <v>0</v>
      </c>
      <c r="AA529" s="33">
        <f t="shared" ref="AA529:BW529" si="2709">AA530+AA565+AA631</f>
        <v>1405.94</v>
      </c>
      <c r="AB529" s="33">
        <f t="shared" si="2709"/>
        <v>98406.27</v>
      </c>
      <c r="AC529" s="33">
        <f t="shared" si="2709"/>
        <v>0</v>
      </c>
      <c r="AD529" s="33">
        <f t="shared" si="2709"/>
        <v>54665</v>
      </c>
      <c r="AE529" s="33">
        <f t="shared" si="2709"/>
        <v>253780.83000000002</v>
      </c>
      <c r="AF529" s="33">
        <f t="shared" si="2709"/>
        <v>0</v>
      </c>
      <c r="AG529" s="33">
        <f t="shared" si="2709"/>
        <v>99825.24</v>
      </c>
      <c r="AH529" s="33">
        <f t="shared" si="2709"/>
        <v>137336.08000000002</v>
      </c>
      <c r="AI529" s="33">
        <f t="shared" si="2709"/>
        <v>0</v>
      </c>
      <c r="AJ529" s="33">
        <f t="shared" si="2709"/>
        <v>70101.05</v>
      </c>
      <c r="AK529" s="33">
        <f t="shared" si="2709"/>
        <v>7905.8</v>
      </c>
      <c r="AL529" s="33">
        <f t="shared" si="2709"/>
        <v>0</v>
      </c>
      <c r="AM529" s="33">
        <f t="shared" si="2709"/>
        <v>186964.05000000002</v>
      </c>
      <c r="AN529" s="33">
        <f t="shared" si="2709"/>
        <v>4796.3999999999996</v>
      </c>
      <c r="AO529" s="33">
        <f t="shared" si="2709"/>
        <v>0</v>
      </c>
      <c r="AP529" s="33">
        <f t="shared" si="2709"/>
        <v>188006.51</v>
      </c>
      <c r="AQ529" s="33">
        <f t="shared" si="2709"/>
        <v>20003.349999999999</v>
      </c>
      <c r="AR529" s="33">
        <f t="shared" si="2709"/>
        <v>0</v>
      </c>
      <c r="AS529" s="33">
        <f t="shared" si="2709"/>
        <v>0</v>
      </c>
      <c r="AT529" s="33">
        <f t="shared" si="2709"/>
        <v>0</v>
      </c>
      <c r="AU529" s="33">
        <f t="shared" si="2709"/>
        <v>0</v>
      </c>
      <c r="AV529" s="33">
        <f t="shared" si="2709"/>
        <v>0</v>
      </c>
      <c r="AW529" s="33">
        <f t="shared" si="2709"/>
        <v>0</v>
      </c>
      <c r="AX529" s="33">
        <f t="shared" si="2709"/>
        <v>0</v>
      </c>
      <c r="AY529" s="33">
        <f t="shared" si="2709"/>
        <v>0</v>
      </c>
      <c r="AZ529" s="33">
        <f t="shared" si="2709"/>
        <v>0</v>
      </c>
      <c r="BA529" s="33">
        <f t="shared" si="2709"/>
        <v>0</v>
      </c>
      <c r="BB529" s="33">
        <f t="shared" si="2709"/>
        <v>0</v>
      </c>
      <c r="BC529" s="33">
        <f t="shared" si="2709"/>
        <v>0</v>
      </c>
      <c r="BD529" s="33">
        <f t="shared" si="2709"/>
        <v>0</v>
      </c>
      <c r="BE529" s="33">
        <f t="shared" si="2709"/>
        <v>0</v>
      </c>
      <c r="BF529" s="33">
        <f t="shared" si="2709"/>
        <v>0</v>
      </c>
      <c r="BG529" s="33">
        <f t="shared" si="2709"/>
        <v>0</v>
      </c>
      <c r="BH529" s="33">
        <f t="shared" si="2709"/>
        <v>0</v>
      </c>
      <c r="BI529" s="33">
        <f t="shared" si="2709"/>
        <v>0</v>
      </c>
      <c r="BJ529" s="33">
        <f t="shared" si="2709"/>
        <v>0</v>
      </c>
      <c r="BK529" s="33">
        <f t="shared" si="2709"/>
        <v>0</v>
      </c>
      <c r="BL529" s="33">
        <f t="shared" si="2709"/>
        <v>0</v>
      </c>
      <c r="BM529" s="33">
        <f t="shared" si="2709"/>
        <v>0</v>
      </c>
      <c r="BN529" s="33">
        <f t="shared" si="2709"/>
        <v>600308.7100000002</v>
      </c>
      <c r="BO529" s="33">
        <f t="shared" si="2709"/>
        <v>0</v>
      </c>
      <c r="BP529" s="33">
        <f t="shared" si="2709"/>
        <v>600308.7100000002</v>
      </c>
      <c r="BQ529" s="33">
        <f t="shared" si="2709"/>
        <v>502007.0500000001</v>
      </c>
      <c r="BR529" s="33">
        <f t="shared" si="2709"/>
        <v>20936.599999999999</v>
      </c>
      <c r="BS529" s="33">
        <f t="shared" si="2709"/>
        <v>522943.65000000008</v>
      </c>
      <c r="BT529" s="33">
        <f t="shared" si="2709"/>
        <v>40036.769999999997</v>
      </c>
      <c r="BU529" s="33">
        <f t="shared" si="2709"/>
        <v>600308.7100000002</v>
      </c>
      <c r="BV529" s="33">
        <f t="shared" si="2709"/>
        <v>522943.65000000008</v>
      </c>
      <c r="BW529" s="33">
        <f t="shared" si="2709"/>
        <v>1163289.1300000001</v>
      </c>
      <c r="BX529" s="6"/>
      <c r="BY529" s="6"/>
      <c r="BZ529" s="6"/>
      <c r="CA529" s="6"/>
      <c r="CB529" s="6"/>
      <c r="CC529" s="6"/>
      <c r="CD529" s="6"/>
      <c r="CE529" s="6"/>
      <c r="CF529" s="6"/>
      <c r="CG529" s="6"/>
    </row>
    <row r="530" spans="1:85" ht="15.75" customHeight="1">
      <c r="A530" s="337" t="s">
        <v>661</v>
      </c>
      <c r="B530" s="249"/>
      <c r="C530" s="250"/>
      <c r="D530" s="251" t="s">
        <v>662</v>
      </c>
      <c r="E530" s="38">
        <f t="shared" ref="E530:H530" si="2710">E531+E543+E559</f>
        <v>108711.84</v>
      </c>
      <c r="F530" s="38">
        <f t="shared" si="2710"/>
        <v>0</v>
      </c>
      <c r="G530" s="38">
        <f t="shared" si="2710"/>
        <v>108711.84</v>
      </c>
      <c r="H530" s="38">
        <f t="shared" si="2710"/>
        <v>130000</v>
      </c>
      <c r="I530" s="39">
        <f t="shared" si="2704"/>
        <v>0.14533835504945919</v>
      </c>
      <c r="J530" s="39">
        <f t="shared" si="2705"/>
        <v>0.10540949357494088</v>
      </c>
      <c r="K530" s="38">
        <f t="shared" ref="K530:W530" si="2711">K531+K543+K559</f>
        <v>15800</v>
      </c>
      <c r="L530" s="38">
        <f t="shared" si="2711"/>
        <v>0</v>
      </c>
      <c r="M530" s="38">
        <f t="shared" si="2711"/>
        <v>0</v>
      </c>
      <c r="N530" s="38">
        <f t="shared" si="2711"/>
        <v>0</v>
      </c>
      <c r="O530" s="38">
        <f t="shared" si="2711"/>
        <v>11459.26</v>
      </c>
      <c r="P530" s="38">
        <f t="shared" si="2711"/>
        <v>0</v>
      </c>
      <c r="Q530" s="38">
        <f t="shared" si="2711"/>
        <v>0</v>
      </c>
      <c r="R530" s="38">
        <f t="shared" si="2711"/>
        <v>11459.26</v>
      </c>
      <c r="S530" s="38">
        <f t="shared" si="2711"/>
        <v>0</v>
      </c>
      <c r="T530" s="38">
        <f t="shared" si="2711"/>
        <v>0</v>
      </c>
      <c r="U530" s="38">
        <f t="shared" si="2711"/>
        <v>4340.74</v>
      </c>
      <c r="V530" s="38">
        <f t="shared" si="2711"/>
        <v>0</v>
      </c>
      <c r="W530" s="38">
        <f t="shared" si="2711"/>
        <v>0</v>
      </c>
      <c r="X530" s="40">
        <f t="shared" ref="X530:Y530" si="2712">IF(O530&gt;0,O530/K530,0)</f>
        <v>0.72526962025316455</v>
      </c>
      <c r="Y530" s="40">
        <f t="shared" si="2712"/>
        <v>0</v>
      </c>
      <c r="Z530" s="40">
        <f t="shared" si="2708"/>
        <v>0</v>
      </c>
      <c r="AA530" s="38">
        <f t="shared" ref="AA530:BW530" si="2713">AA531+AA543+AA559</f>
        <v>1200</v>
      </c>
      <c r="AB530" s="38">
        <f t="shared" si="2713"/>
        <v>0</v>
      </c>
      <c r="AC530" s="38">
        <f t="shared" si="2713"/>
        <v>0</v>
      </c>
      <c r="AD530" s="38">
        <f t="shared" si="2713"/>
        <v>0</v>
      </c>
      <c r="AE530" s="38">
        <f t="shared" si="2713"/>
        <v>0</v>
      </c>
      <c r="AF530" s="38">
        <f t="shared" si="2713"/>
        <v>0</v>
      </c>
      <c r="AG530" s="38">
        <f t="shared" si="2713"/>
        <v>4000</v>
      </c>
      <c r="AH530" s="38">
        <f t="shared" si="2713"/>
        <v>0</v>
      </c>
      <c r="AI530" s="38">
        <f t="shared" si="2713"/>
        <v>0</v>
      </c>
      <c r="AJ530" s="38">
        <f t="shared" si="2713"/>
        <v>2129.63</v>
      </c>
      <c r="AK530" s="38">
        <f t="shared" si="2713"/>
        <v>0</v>
      </c>
      <c r="AL530" s="38">
        <f t="shared" si="2713"/>
        <v>0</v>
      </c>
      <c r="AM530" s="38">
        <f t="shared" si="2713"/>
        <v>2129.63</v>
      </c>
      <c r="AN530" s="38">
        <f t="shared" si="2713"/>
        <v>0</v>
      </c>
      <c r="AO530" s="38">
        <f t="shared" si="2713"/>
        <v>0</v>
      </c>
      <c r="AP530" s="38">
        <f t="shared" si="2713"/>
        <v>2000</v>
      </c>
      <c r="AQ530" s="38">
        <f t="shared" si="2713"/>
        <v>0</v>
      </c>
      <c r="AR530" s="38">
        <f t="shared" si="2713"/>
        <v>0</v>
      </c>
      <c r="AS530" s="38">
        <f t="shared" si="2713"/>
        <v>0</v>
      </c>
      <c r="AT530" s="38">
        <f t="shared" si="2713"/>
        <v>0</v>
      </c>
      <c r="AU530" s="38">
        <f t="shared" si="2713"/>
        <v>0</v>
      </c>
      <c r="AV530" s="38">
        <f t="shared" si="2713"/>
        <v>0</v>
      </c>
      <c r="AW530" s="38">
        <f t="shared" si="2713"/>
        <v>0</v>
      </c>
      <c r="AX530" s="38">
        <f t="shared" si="2713"/>
        <v>0</v>
      </c>
      <c r="AY530" s="38">
        <f t="shared" si="2713"/>
        <v>0</v>
      </c>
      <c r="AZ530" s="38">
        <f t="shared" si="2713"/>
        <v>0</v>
      </c>
      <c r="BA530" s="38">
        <f t="shared" si="2713"/>
        <v>0</v>
      </c>
      <c r="BB530" s="38">
        <f t="shared" si="2713"/>
        <v>0</v>
      </c>
      <c r="BC530" s="38">
        <f t="shared" si="2713"/>
        <v>0</v>
      </c>
      <c r="BD530" s="38">
        <f t="shared" si="2713"/>
        <v>0</v>
      </c>
      <c r="BE530" s="38">
        <f t="shared" si="2713"/>
        <v>0</v>
      </c>
      <c r="BF530" s="38">
        <f t="shared" si="2713"/>
        <v>0</v>
      </c>
      <c r="BG530" s="38">
        <f t="shared" si="2713"/>
        <v>0</v>
      </c>
      <c r="BH530" s="38">
        <f t="shared" si="2713"/>
        <v>0</v>
      </c>
      <c r="BI530" s="38">
        <f t="shared" si="2713"/>
        <v>0</v>
      </c>
      <c r="BJ530" s="38">
        <f t="shared" si="2713"/>
        <v>0</v>
      </c>
      <c r="BK530" s="38">
        <f t="shared" si="2713"/>
        <v>0</v>
      </c>
      <c r="BL530" s="38">
        <f t="shared" si="2713"/>
        <v>0</v>
      </c>
      <c r="BM530" s="38">
        <f t="shared" si="2713"/>
        <v>0</v>
      </c>
      <c r="BN530" s="38">
        <f t="shared" si="2713"/>
        <v>11459.26</v>
      </c>
      <c r="BO530" s="38">
        <f t="shared" si="2713"/>
        <v>0</v>
      </c>
      <c r="BP530" s="38">
        <f t="shared" si="2713"/>
        <v>11459.26</v>
      </c>
      <c r="BQ530" s="38">
        <f t="shared" si="2713"/>
        <v>4340.74</v>
      </c>
      <c r="BR530" s="38">
        <f t="shared" si="2713"/>
        <v>0</v>
      </c>
      <c r="BS530" s="38">
        <f t="shared" si="2713"/>
        <v>4340.74</v>
      </c>
      <c r="BT530" s="38">
        <f t="shared" si="2713"/>
        <v>0</v>
      </c>
      <c r="BU530" s="38">
        <f t="shared" si="2713"/>
        <v>11459.26</v>
      </c>
      <c r="BV530" s="38">
        <f t="shared" si="2713"/>
        <v>4340.74</v>
      </c>
      <c r="BW530" s="38">
        <f t="shared" si="2713"/>
        <v>15800</v>
      </c>
      <c r="BX530" s="6"/>
      <c r="BY530" s="6"/>
      <c r="BZ530" s="6"/>
      <c r="CA530" s="6"/>
      <c r="CB530" s="6"/>
      <c r="CC530" s="6"/>
      <c r="CD530" s="6"/>
      <c r="CE530" s="6"/>
      <c r="CF530" s="6"/>
      <c r="CG530" s="6"/>
    </row>
    <row r="531" spans="1:85" ht="15.75" customHeight="1">
      <c r="A531" s="325"/>
      <c r="B531" s="326"/>
      <c r="C531" s="327"/>
      <c r="D531" s="357" t="s">
        <v>663</v>
      </c>
      <c r="E531" s="329">
        <f t="shared" ref="E531:H531" si="2714">E532+E535+E539+E541</f>
        <v>58211.839999999997</v>
      </c>
      <c r="F531" s="329">
        <f t="shared" si="2714"/>
        <v>0</v>
      </c>
      <c r="G531" s="329">
        <f t="shared" si="2714"/>
        <v>58211.839999999997</v>
      </c>
      <c r="H531" s="329">
        <f t="shared" si="2714"/>
        <v>0</v>
      </c>
      <c r="I531" s="330">
        <f t="shared" si="2704"/>
        <v>0.24737235586437401</v>
      </c>
      <c r="J531" s="330">
        <f t="shared" si="2705"/>
        <v>0.19240072122784643</v>
      </c>
      <c r="K531" s="329">
        <f t="shared" ref="K531:W531" si="2715">K532+K535+K539+K541</f>
        <v>14400</v>
      </c>
      <c r="L531" s="329">
        <f t="shared" si="2715"/>
        <v>0</v>
      </c>
      <c r="M531" s="329">
        <f t="shared" si="2715"/>
        <v>0</v>
      </c>
      <c r="N531" s="329">
        <f t="shared" si="2715"/>
        <v>0</v>
      </c>
      <c r="O531" s="329">
        <f t="shared" si="2715"/>
        <v>11200</v>
      </c>
      <c r="P531" s="329">
        <f t="shared" si="2715"/>
        <v>0</v>
      </c>
      <c r="Q531" s="329">
        <f t="shared" si="2715"/>
        <v>0</v>
      </c>
      <c r="R531" s="329">
        <f t="shared" si="2715"/>
        <v>11200</v>
      </c>
      <c r="S531" s="329">
        <f t="shared" si="2715"/>
        <v>0</v>
      </c>
      <c r="T531" s="329">
        <f t="shared" si="2715"/>
        <v>0</v>
      </c>
      <c r="U531" s="329">
        <f t="shared" si="2715"/>
        <v>3200</v>
      </c>
      <c r="V531" s="329">
        <f t="shared" si="2715"/>
        <v>0</v>
      </c>
      <c r="W531" s="329">
        <f t="shared" si="2715"/>
        <v>0</v>
      </c>
      <c r="X531" s="339">
        <f t="shared" ref="X531:Y531" si="2716">IF(O531&gt;0,O531/K531,0)</f>
        <v>0.77777777777777779</v>
      </c>
      <c r="Y531" s="339">
        <f t="shared" si="2716"/>
        <v>0</v>
      </c>
      <c r="Z531" s="339">
        <f t="shared" si="2708"/>
        <v>0</v>
      </c>
      <c r="AA531" s="329">
        <f t="shared" ref="AA531:BW531" si="2717">AA532+AA535+AA539+AA541</f>
        <v>1200</v>
      </c>
      <c r="AB531" s="329">
        <f t="shared" si="2717"/>
        <v>0</v>
      </c>
      <c r="AC531" s="329">
        <f t="shared" si="2717"/>
        <v>0</v>
      </c>
      <c r="AD531" s="329">
        <f t="shared" si="2717"/>
        <v>0</v>
      </c>
      <c r="AE531" s="329">
        <f t="shared" si="2717"/>
        <v>0</v>
      </c>
      <c r="AF531" s="329">
        <f t="shared" si="2717"/>
        <v>0</v>
      </c>
      <c r="AG531" s="329">
        <f t="shared" si="2717"/>
        <v>4000</v>
      </c>
      <c r="AH531" s="329">
        <f t="shared" si="2717"/>
        <v>0</v>
      </c>
      <c r="AI531" s="329">
        <f t="shared" si="2717"/>
        <v>0</v>
      </c>
      <c r="AJ531" s="329">
        <f t="shared" si="2717"/>
        <v>2000</v>
      </c>
      <c r="AK531" s="329">
        <f t="shared" si="2717"/>
        <v>0</v>
      </c>
      <c r="AL531" s="329">
        <f t="shared" si="2717"/>
        <v>0</v>
      </c>
      <c r="AM531" s="329">
        <f t="shared" si="2717"/>
        <v>2000</v>
      </c>
      <c r="AN531" s="329">
        <f t="shared" si="2717"/>
        <v>0</v>
      </c>
      <c r="AO531" s="329">
        <f t="shared" si="2717"/>
        <v>0</v>
      </c>
      <c r="AP531" s="329">
        <f t="shared" si="2717"/>
        <v>2000</v>
      </c>
      <c r="AQ531" s="329">
        <f t="shared" si="2717"/>
        <v>0</v>
      </c>
      <c r="AR531" s="329">
        <f t="shared" si="2717"/>
        <v>0</v>
      </c>
      <c r="AS531" s="329">
        <f t="shared" si="2717"/>
        <v>0</v>
      </c>
      <c r="AT531" s="329">
        <f t="shared" si="2717"/>
        <v>0</v>
      </c>
      <c r="AU531" s="329">
        <f t="shared" si="2717"/>
        <v>0</v>
      </c>
      <c r="AV531" s="329">
        <f t="shared" si="2717"/>
        <v>0</v>
      </c>
      <c r="AW531" s="329">
        <f t="shared" si="2717"/>
        <v>0</v>
      </c>
      <c r="AX531" s="329">
        <f t="shared" si="2717"/>
        <v>0</v>
      </c>
      <c r="AY531" s="329">
        <f t="shared" si="2717"/>
        <v>0</v>
      </c>
      <c r="AZ531" s="329">
        <f t="shared" si="2717"/>
        <v>0</v>
      </c>
      <c r="BA531" s="329">
        <f t="shared" si="2717"/>
        <v>0</v>
      </c>
      <c r="BB531" s="329">
        <f t="shared" si="2717"/>
        <v>0</v>
      </c>
      <c r="BC531" s="329">
        <f t="shared" si="2717"/>
        <v>0</v>
      </c>
      <c r="BD531" s="329">
        <f t="shared" si="2717"/>
        <v>0</v>
      </c>
      <c r="BE531" s="329">
        <f t="shared" si="2717"/>
        <v>0</v>
      </c>
      <c r="BF531" s="329">
        <f t="shared" si="2717"/>
        <v>0</v>
      </c>
      <c r="BG531" s="329">
        <f t="shared" si="2717"/>
        <v>0</v>
      </c>
      <c r="BH531" s="329">
        <f t="shared" si="2717"/>
        <v>0</v>
      </c>
      <c r="BI531" s="329">
        <f t="shared" si="2717"/>
        <v>0</v>
      </c>
      <c r="BJ531" s="329">
        <f t="shared" si="2717"/>
        <v>0</v>
      </c>
      <c r="BK531" s="329">
        <f t="shared" si="2717"/>
        <v>0</v>
      </c>
      <c r="BL531" s="329">
        <f t="shared" si="2717"/>
        <v>0</v>
      </c>
      <c r="BM531" s="329">
        <f t="shared" si="2717"/>
        <v>0</v>
      </c>
      <c r="BN531" s="329">
        <f t="shared" si="2717"/>
        <v>11200</v>
      </c>
      <c r="BO531" s="329">
        <f t="shared" si="2717"/>
        <v>0</v>
      </c>
      <c r="BP531" s="329">
        <f t="shared" si="2717"/>
        <v>11200</v>
      </c>
      <c r="BQ531" s="329">
        <f t="shared" si="2717"/>
        <v>3200</v>
      </c>
      <c r="BR531" s="329">
        <f t="shared" si="2717"/>
        <v>0</v>
      </c>
      <c r="BS531" s="329">
        <f t="shared" si="2717"/>
        <v>3200</v>
      </c>
      <c r="BT531" s="329">
        <f t="shared" si="2717"/>
        <v>0</v>
      </c>
      <c r="BU531" s="329">
        <f t="shared" si="2717"/>
        <v>11200</v>
      </c>
      <c r="BV531" s="329">
        <f t="shared" si="2717"/>
        <v>3200</v>
      </c>
      <c r="BW531" s="329">
        <f t="shared" si="2717"/>
        <v>14400</v>
      </c>
      <c r="BX531" s="6"/>
      <c r="BY531" s="6"/>
      <c r="BZ531" s="6"/>
      <c r="CA531" s="6"/>
      <c r="CB531" s="6"/>
      <c r="CC531" s="6"/>
      <c r="CD531" s="6"/>
      <c r="CE531" s="6"/>
      <c r="CF531" s="6"/>
      <c r="CG531" s="6"/>
    </row>
    <row r="532" spans="1:85" ht="15.75">
      <c r="A532" s="317"/>
      <c r="B532" s="318"/>
      <c r="C532" s="319"/>
      <c r="D532" s="44" t="s">
        <v>67</v>
      </c>
      <c r="E532" s="269">
        <f t="shared" ref="E532:H532" si="2718">SUM(E533:E534)</f>
        <v>2000</v>
      </c>
      <c r="F532" s="365">
        <f t="shared" si="2718"/>
        <v>0</v>
      </c>
      <c r="G532" s="46">
        <f t="shared" si="2718"/>
        <v>2000</v>
      </c>
      <c r="H532" s="365">
        <f t="shared" si="2718"/>
        <v>0</v>
      </c>
      <c r="I532" s="270">
        <f t="shared" si="2704"/>
        <v>0</v>
      </c>
      <c r="J532" s="270">
        <f t="shared" si="2705"/>
        <v>0</v>
      </c>
      <c r="K532" s="365">
        <f t="shared" ref="K532:W532" si="2719">SUM(K533:K534)</f>
        <v>0</v>
      </c>
      <c r="L532" s="365">
        <f t="shared" si="2719"/>
        <v>0</v>
      </c>
      <c r="M532" s="365">
        <f t="shared" si="2719"/>
        <v>0</v>
      </c>
      <c r="N532" s="365">
        <f t="shared" si="2719"/>
        <v>0</v>
      </c>
      <c r="O532" s="365">
        <f t="shared" si="2719"/>
        <v>0</v>
      </c>
      <c r="P532" s="365">
        <f t="shared" si="2719"/>
        <v>0</v>
      </c>
      <c r="Q532" s="365">
        <f t="shared" si="2719"/>
        <v>0</v>
      </c>
      <c r="R532" s="365">
        <f t="shared" si="2719"/>
        <v>0</v>
      </c>
      <c r="S532" s="365">
        <f t="shared" si="2719"/>
        <v>0</v>
      </c>
      <c r="T532" s="365">
        <f t="shared" si="2719"/>
        <v>0</v>
      </c>
      <c r="U532" s="46">
        <f t="shared" si="2719"/>
        <v>0</v>
      </c>
      <c r="V532" s="365">
        <f t="shared" si="2719"/>
        <v>0</v>
      </c>
      <c r="W532" s="365">
        <f t="shared" si="2719"/>
        <v>0</v>
      </c>
      <c r="X532" s="271">
        <f t="shared" ref="X532:Y532" si="2720">IF(O532&gt;0,O532/K532,0)</f>
        <v>0</v>
      </c>
      <c r="Y532" s="271">
        <f t="shared" si="2720"/>
        <v>0</v>
      </c>
      <c r="Z532" s="271">
        <f t="shared" si="2708"/>
        <v>0</v>
      </c>
      <c r="AA532" s="365">
        <f t="shared" ref="AA532:BW532" si="2721">SUM(AA533:AA534)</f>
        <v>0</v>
      </c>
      <c r="AB532" s="365">
        <f t="shared" si="2721"/>
        <v>0</v>
      </c>
      <c r="AC532" s="365">
        <f t="shared" si="2721"/>
        <v>0</v>
      </c>
      <c r="AD532" s="365">
        <f t="shared" si="2721"/>
        <v>0</v>
      </c>
      <c r="AE532" s="365">
        <f t="shared" si="2721"/>
        <v>0</v>
      </c>
      <c r="AF532" s="365">
        <f t="shared" si="2721"/>
        <v>0</v>
      </c>
      <c r="AG532" s="365">
        <f t="shared" si="2721"/>
        <v>0</v>
      </c>
      <c r="AH532" s="365">
        <f t="shared" si="2721"/>
        <v>0</v>
      </c>
      <c r="AI532" s="365">
        <f t="shared" si="2721"/>
        <v>0</v>
      </c>
      <c r="AJ532" s="365">
        <f t="shared" si="2721"/>
        <v>0</v>
      </c>
      <c r="AK532" s="365">
        <f t="shared" si="2721"/>
        <v>0</v>
      </c>
      <c r="AL532" s="365">
        <f t="shared" si="2721"/>
        <v>0</v>
      </c>
      <c r="AM532" s="365">
        <f t="shared" si="2721"/>
        <v>0</v>
      </c>
      <c r="AN532" s="365">
        <f t="shared" si="2721"/>
        <v>0</v>
      </c>
      <c r="AO532" s="365">
        <f t="shared" si="2721"/>
        <v>0</v>
      </c>
      <c r="AP532" s="365">
        <f t="shared" si="2721"/>
        <v>0</v>
      </c>
      <c r="AQ532" s="365">
        <f t="shared" si="2721"/>
        <v>0</v>
      </c>
      <c r="AR532" s="365">
        <f t="shared" si="2721"/>
        <v>0</v>
      </c>
      <c r="AS532" s="365">
        <f t="shared" si="2721"/>
        <v>0</v>
      </c>
      <c r="AT532" s="365">
        <f t="shared" si="2721"/>
        <v>0</v>
      </c>
      <c r="AU532" s="365">
        <f t="shared" si="2721"/>
        <v>0</v>
      </c>
      <c r="AV532" s="365">
        <f t="shared" si="2721"/>
        <v>0</v>
      </c>
      <c r="AW532" s="365">
        <f t="shared" si="2721"/>
        <v>0</v>
      </c>
      <c r="AX532" s="365">
        <f t="shared" si="2721"/>
        <v>0</v>
      </c>
      <c r="AY532" s="365">
        <f t="shared" si="2721"/>
        <v>0</v>
      </c>
      <c r="AZ532" s="365">
        <f t="shared" si="2721"/>
        <v>0</v>
      </c>
      <c r="BA532" s="365">
        <f t="shared" si="2721"/>
        <v>0</v>
      </c>
      <c r="BB532" s="365">
        <f t="shared" si="2721"/>
        <v>0</v>
      </c>
      <c r="BC532" s="365">
        <f t="shared" si="2721"/>
        <v>0</v>
      </c>
      <c r="BD532" s="365">
        <f t="shared" si="2721"/>
        <v>0</v>
      </c>
      <c r="BE532" s="365">
        <f t="shared" si="2721"/>
        <v>0</v>
      </c>
      <c r="BF532" s="365">
        <f t="shared" si="2721"/>
        <v>0</v>
      </c>
      <c r="BG532" s="365">
        <f t="shared" si="2721"/>
        <v>0</v>
      </c>
      <c r="BH532" s="365">
        <f t="shared" si="2721"/>
        <v>0</v>
      </c>
      <c r="BI532" s="365">
        <f t="shared" si="2721"/>
        <v>0</v>
      </c>
      <c r="BJ532" s="365">
        <f t="shared" si="2721"/>
        <v>0</v>
      </c>
      <c r="BK532" s="365">
        <f t="shared" si="2721"/>
        <v>0</v>
      </c>
      <c r="BL532" s="365">
        <f t="shared" si="2721"/>
        <v>0</v>
      </c>
      <c r="BM532" s="365">
        <f t="shared" si="2721"/>
        <v>0</v>
      </c>
      <c r="BN532" s="365">
        <f t="shared" si="2721"/>
        <v>0</v>
      </c>
      <c r="BO532" s="365">
        <f t="shared" si="2721"/>
        <v>0</v>
      </c>
      <c r="BP532" s="365">
        <f t="shared" si="2721"/>
        <v>0</v>
      </c>
      <c r="BQ532" s="365">
        <f t="shared" si="2721"/>
        <v>0</v>
      </c>
      <c r="BR532" s="365">
        <f t="shared" si="2721"/>
        <v>0</v>
      </c>
      <c r="BS532" s="365">
        <f t="shared" si="2721"/>
        <v>0</v>
      </c>
      <c r="BT532" s="365">
        <f t="shared" si="2721"/>
        <v>0</v>
      </c>
      <c r="BU532" s="365">
        <f t="shared" si="2721"/>
        <v>0</v>
      </c>
      <c r="BV532" s="365">
        <f t="shared" si="2721"/>
        <v>0</v>
      </c>
      <c r="BW532" s="365">
        <f t="shared" si="2721"/>
        <v>0</v>
      </c>
      <c r="BX532" s="6"/>
      <c r="BY532" s="6"/>
      <c r="BZ532" s="6"/>
      <c r="CA532" s="6"/>
      <c r="CB532" s="6"/>
      <c r="CC532" s="6"/>
      <c r="CD532" s="6"/>
      <c r="CE532" s="6"/>
      <c r="CF532" s="6"/>
      <c r="CG532" s="6"/>
    </row>
    <row r="533" spans="1:85" ht="15.75" customHeight="1">
      <c r="A533" s="89"/>
      <c r="B533" s="69"/>
      <c r="C533" s="68" t="s">
        <v>69</v>
      </c>
      <c r="D533" s="105" t="s">
        <v>70</v>
      </c>
      <c r="E533" s="56">
        <v>2000</v>
      </c>
      <c r="F533" s="99">
        <v>0</v>
      </c>
      <c r="G533" s="58">
        <f t="shared" ref="G533:G534" si="2722">E533-F533</f>
        <v>2000</v>
      </c>
      <c r="H533" s="99">
        <v>0</v>
      </c>
      <c r="I533" s="59">
        <f t="shared" si="2704"/>
        <v>0</v>
      </c>
      <c r="J533" s="59">
        <f t="shared" si="2705"/>
        <v>0</v>
      </c>
      <c r="K533" s="74">
        <v>0</v>
      </c>
      <c r="L533" s="74">
        <v>0</v>
      </c>
      <c r="M533" s="74">
        <v>0</v>
      </c>
      <c r="N533" s="74">
        <v>0</v>
      </c>
      <c r="O533" s="61">
        <f t="shared" ref="O533:Q533" si="2723">AA533+AD533+AG533+AJ533+AM533+AP533+AS533+AV533+AY533+BB533+BE533+BH533</f>
        <v>0</v>
      </c>
      <c r="P533" s="61">
        <f t="shared" si="2723"/>
        <v>0</v>
      </c>
      <c r="Q533" s="61">
        <f t="shared" si="2723"/>
        <v>0</v>
      </c>
      <c r="R533" s="61">
        <f t="shared" ref="R533:T533" si="2724">IF(BK533=0,SUM(AA533+AD533+AG533+AJ533+AM533+AP533+AS533+AV533+AY533+BB533+BE533+BH533),BK533)</f>
        <v>0</v>
      </c>
      <c r="S533" s="61">
        <f t="shared" si="2724"/>
        <v>0</v>
      </c>
      <c r="T533" s="61">
        <f t="shared" si="2724"/>
        <v>0</v>
      </c>
      <c r="U533" s="63">
        <f t="shared" ref="U533:U534" si="2725">K533-O533</f>
        <v>0</v>
      </c>
      <c r="V533" s="63">
        <f t="shared" ref="V533:V534" si="2726">L533-M533-S533</f>
        <v>0</v>
      </c>
      <c r="W533" s="63">
        <f t="shared" ref="W533:W534" si="2727">N533-Q533</f>
        <v>0</v>
      </c>
      <c r="X533" s="64">
        <f t="shared" ref="X533:Y533" si="2728">IF(O533&gt;0,O533/K533,0)</f>
        <v>0</v>
      </c>
      <c r="Y533" s="64">
        <f t="shared" si="2728"/>
        <v>0</v>
      </c>
      <c r="Z533" s="64">
        <f t="shared" si="2708"/>
        <v>0</v>
      </c>
      <c r="AA533" s="65"/>
      <c r="AB533" s="65"/>
      <c r="AC533" s="65"/>
      <c r="AD533" s="65"/>
      <c r="AE533" s="66"/>
      <c r="AF533" s="66"/>
      <c r="AG533" s="66"/>
      <c r="AH533" s="66"/>
      <c r="AI533" s="65"/>
      <c r="AJ533" s="65"/>
      <c r="AK533" s="65"/>
      <c r="AL533" s="65"/>
      <c r="AM533" s="65"/>
      <c r="AN533" s="65"/>
      <c r="AO533" s="65"/>
      <c r="AP533" s="65"/>
      <c r="AQ533" s="65"/>
      <c r="AR533" s="65"/>
      <c r="AS533" s="65"/>
      <c r="AT533" s="65"/>
      <c r="AU533" s="65"/>
      <c r="AV533" s="65"/>
      <c r="AW533" s="65"/>
      <c r="AX533" s="65"/>
      <c r="AY533" s="65"/>
      <c r="AZ533" s="65"/>
      <c r="BA533" s="65"/>
      <c r="BB533" s="65"/>
      <c r="BC533" s="65"/>
      <c r="BD533" s="65"/>
      <c r="BE533" s="65"/>
      <c r="BF533" s="65"/>
      <c r="BG533" s="65"/>
      <c r="BH533" s="65"/>
      <c r="BI533" s="65"/>
      <c r="BJ533" s="65"/>
      <c r="BK533" s="65">
        <v>0</v>
      </c>
      <c r="BL533" s="65">
        <v>0</v>
      </c>
      <c r="BM533" s="65">
        <v>0</v>
      </c>
      <c r="BN533" s="65">
        <f t="shared" ref="BN533:BN534" si="2729">IF(O533-BK533&gt;0,O533-BK533,0)</f>
        <v>0</v>
      </c>
      <c r="BO533" s="67">
        <f t="shared" ref="BO533:BO534" si="2730">IF(Q533-BM533&gt;0,Q533-BM533,0)</f>
        <v>0</v>
      </c>
      <c r="BP533" s="65">
        <f t="shared" ref="BP533:BP534" si="2731">IF(BN533+BO533&gt;0,BN533+BO533,0)</f>
        <v>0</v>
      </c>
      <c r="BQ533" s="65">
        <f t="shared" ref="BQ533:BQ534" si="2732">IF(U533=0,0,U533)</f>
        <v>0</v>
      </c>
      <c r="BR533" s="65">
        <f t="shared" ref="BR533:BR534" si="2733">IF(W533=0,0,W533)</f>
        <v>0</v>
      </c>
      <c r="BS533" s="65">
        <f t="shared" ref="BS533:BS534" si="2734">IF(BQ533+BR533&gt;0,BQ533+BR533,0)</f>
        <v>0</v>
      </c>
      <c r="BT533" s="65">
        <f t="shared" ref="BT533:BT534" si="2735">IF(V533&gt;0,V533,0)</f>
        <v>0</v>
      </c>
      <c r="BU533" s="65">
        <f t="shared" ref="BU533:BU534" si="2736">IF(BP533=0,0,BP533)</f>
        <v>0</v>
      </c>
      <c r="BV533" s="65">
        <f t="shared" ref="BV533:BV534" si="2737">IF(BS533=0,0,BS533)</f>
        <v>0</v>
      </c>
      <c r="BW533" s="65">
        <f t="shared" ref="BW533:BW534" si="2738">IF(BP533+BT533+BV533&gt;0,BP533+BT533+BV533,0)</f>
        <v>0</v>
      </c>
      <c r="BX533" s="6"/>
      <c r="BY533" s="6"/>
      <c r="BZ533" s="6"/>
      <c r="CA533" s="6"/>
      <c r="CB533" s="6"/>
      <c r="CC533" s="6"/>
      <c r="CD533" s="6"/>
      <c r="CE533" s="6"/>
      <c r="CF533" s="6"/>
      <c r="CG533" s="6"/>
    </row>
    <row r="534" spans="1:85" ht="15.75" customHeight="1">
      <c r="A534" s="68"/>
      <c r="B534" s="69"/>
      <c r="C534" s="68" t="s">
        <v>73</v>
      </c>
      <c r="D534" s="70" t="s">
        <v>74</v>
      </c>
      <c r="E534" s="99">
        <v>0</v>
      </c>
      <c r="F534" s="99">
        <v>0</v>
      </c>
      <c r="G534" s="58">
        <f t="shared" si="2722"/>
        <v>0</v>
      </c>
      <c r="H534" s="99">
        <v>0</v>
      </c>
      <c r="I534" s="59">
        <f t="shared" si="2704"/>
        <v>0</v>
      </c>
      <c r="J534" s="59">
        <f t="shared" si="2705"/>
        <v>0</v>
      </c>
      <c r="K534" s="74">
        <v>0</v>
      </c>
      <c r="L534" s="74">
        <v>0</v>
      </c>
      <c r="M534" s="74">
        <v>0</v>
      </c>
      <c r="N534" s="74">
        <v>0</v>
      </c>
      <c r="O534" s="61">
        <f t="shared" ref="O534:Q534" si="2739">AA534+AD534+AG534+AJ534+AM534+AP534+AS534+AV534+AY534+BB534+BE534+BH534</f>
        <v>0</v>
      </c>
      <c r="P534" s="61">
        <f t="shared" si="2739"/>
        <v>0</v>
      </c>
      <c r="Q534" s="61">
        <f t="shared" si="2739"/>
        <v>0</v>
      </c>
      <c r="R534" s="61">
        <f t="shared" ref="R534:T534" si="2740">IF(BK534=0,SUM(AA534+AD534+AG534+AJ534+AM534+AP534+AS534+AV534+AY534+BB534+BE534+BH534),BK534)</f>
        <v>0</v>
      </c>
      <c r="S534" s="61">
        <f t="shared" si="2740"/>
        <v>0</v>
      </c>
      <c r="T534" s="61">
        <f t="shared" si="2740"/>
        <v>0</v>
      </c>
      <c r="U534" s="63">
        <f t="shared" si="2725"/>
        <v>0</v>
      </c>
      <c r="V534" s="63">
        <f t="shared" si="2726"/>
        <v>0</v>
      </c>
      <c r="W534" s="63">
        <f t="shared" si="2727"/>
        <v>0</v>
      </c>
      <c r="X534" s="64">
        <f t="shared" ref="X534:Y534" si="2741">IF(O534&gt;0,O534/K534,0)</f>
        <v>0</v>
      </c>
      <c r="Y534" s="64">
        <f t="shared" si="2741"/>
        <v>0</v>
      </c>
      <c r="Z534" s="64">
        <f t="shared" si="2708"/>
        <v>0</v>
      </c>
      <c r="AA534" s="65"/>
      <c r="AB534" s="65"/>
      <c r="AC534" s="65"/>
      <c r="AD534" s="65"/>
      <c r="AE534" s="66"/>
      <c r="AF534" s="66"/>
      <c r="AG534" s="66"/>
      <c r="AH534" s="66"/>
      <c r="AI534" s="65"/>
      <c r="AJ534" s="65"/>
      <c r="AK534" s="65"/>
      <c r="AL534" s="65"/>
      <c r="AM534" s="65"/>
      <c r="AN534" s="65"/>
      <c r="AO534" s="65"/>
      <c r="AP534" s="65"/>
      <c r="AQ534" s="65"/>
      <c r="AR534" s="65"/>
      <c r="AS534" s="65"/>
      <c r="AT534" s="65"/>
      <c r="AU534" s="65"/>
      <c r="AV534" s="65"/>
      <c r="AW534" s="65"/>
      <c r="AX534" s="65"/>
      <c r="AY534" s="65"/>
      <c r="AZ534" s="65"/>
      <c r="BA534" s="65"/>
      <c r="BB534" s="65"/>
      <c r="BC534" s="65"/>
      <c r="BD534" s="65"/>
      <c r="BE534" s="65"/>
      <c r="BF534" s="65"/>
      <c r="BG534" s="65"/>
      <c r="BH534" s="65"/>
      <c r="BI534" s="65"/>
      <c r="BJ534" s="65"/>
      <c r="BK534" s="65">
        <v>0</v>
      </c>
      <c r="BL534" s="65">
        <v>0</v>
      </c>
      <c r="BM534" s="65">
        <v>0</v>
      </c>
      <c r="BN534" s="65">
        <f t="shared" si="2729"/>
        <v>0</v>
      </c>
      <c r="BO534" s="67">
        <f t="shared" si="2730"/>
        <v>0</v>
      </c>
      <c r="BP534" s="65">
        <f t="shared" si="2731"/>
        <v>0</v>
      </c>
      <c r="BQ534" s="65">
        <f t="shared" si="2732"/>
        <v>0</v>
      </c>
      <c r="BR534" s="65">
        <f t="shared" si="2733"/>
        <v>0</v>
      </c>
      <c r="BS534" s="65">
        <f t="shared" si="2734"/>
        <v>0</v>
      </c>
      <c r="BT534" s="65">
        <f t="shared" si="2735"/>
        <v>0</v>
      </c>
      <c r="BU534" s="65">
        <f t="shared" si="2736"/>
        <v>0</v>
      </c>
      <c r="BV534" s="65">
        <f t="shared" si="2737"/>
        <v>0</v>
      </c>
      <c r="BW534" s="65">
        <f t="shared" si="2738"/>
        <v>0</v>
      </c>
      <c r="BX534" s="6"/>
      <c r="BY534" s="6"/>
      <c r="BZ534" s="6"/>
      <c r="CA534" s="6"/>
      <c r="CB534" s="6"/>
      <c r="CC534" s="6"/>
      <c r="CD534" s="6"/>
      <c r="CE534" s="6"/>
      <c r="CF534" s="6"/>
      <c r="CG534" s="6"/>
    </row>
    <row r="535" spans="1:85" ht="15.75">
      <c r="A535" s="75"/>
      <c r="B535" s="76"/>
      <c r="C535" s="77"/>
      <c r="D535" s="78" t="s">
        <v>467</v>
      </c>
      <c r="E535" s="45">
        <f t="shared" ref="E535:H535" si="2742">SUM(E536:E538)</f>
        <v>49011.839999999997</v>
      </c>
      <c r="F535" s="45">
        <f t="shared" si="2742"/>
        <v>0</v>
      </c>
      <c r="G535" s="45">
        <f t="shared" si="2742"/>
        <v>49011.839999999997</v>
      </c>
      <c r="H535" s="45">
        <f t="shared" si="2742"/>
        <v>0</v>
      </c>
      <c r="I535" s="47">
        <f t="shared" si="2704"/>
        <v>0.2938065577623693</v>
      </c>
      <c r="J535" s="47">
        <f t="shared" si="2705"/>
        <v>0.22851621159295388</v>
      </c>
      <c r="K535" s="45">
        <f t="shared" ref="K535:W535" si="2743">SUM(K536:K538)</f>
        <v>14400</v>
      </c>
      <c r="L535" s="45">
        <f t="shared" si="2743"/>
        <v>0</v>
      </c>
      <c r="M535" s="45">
        <f t="shared" si="2743"/>
        <v>0</v>
      </c>
      <c r="N535" s="45">
        <f t="shared" si="2743"/>
        <v>0</v>
      </c>
      <c r="O535" s="45">
        <f t="shared" si="2743"/>
        <v>11200</v>
      </c>
      <c r="P535" s="45">
        <f t="shared" si="2743"/>
        <v>0</v>
      </c>
      <c r="Q535" s="45">
        <f t="shared" si="2743"/>
        <v>0</v>
      </c>
      <c r="R535" s="45">
        <f t="shared" si="2743"/>
        <v>11200</v>
      </c>
      <c r="S535" s="45">
        <f t="shared" si="2743"/>
        <v>0</v>
      </c>
      <c r="T535" s="45">
        <f t="shared" si="2743"/>
        <v>0</v>
      </c>
      <c r="U535" s="45">
        <f t="shared" si="2743"/>
        <v>3200</v>
      </c>
      <c r="V535" s="45">
        <f t="shared" si="2743"/>
        <v>0</v>
      </c>
      <c r="W535" s="45">
        <f t="shared" si="2743"/>
        <v>0</v>
      </c>
      <c r="X535" s="50">
        <f t="shared" ref="X535:Y535" si="2744">IF(O535&gt;0,O535/K535,0)</f>
        <v>0.77777777777777779</v>
      </c>
      <c r="Y535" s="50">
        <f t="shared" si="2744"/>
        <v>0</v>
      </c>
      <c r="Z535" s="50">
        <f t="shared" si="2708"/>
        <v>0</v>
      </c>
      <c r="AA535" s="45">
        <f t="shared" ref="AA535:BW535" si="2745">SUM(AA536:AA538)</f>
        <v>1200</v>
      </c>
      <c r="AB535" s="45">
        <f t="shared" si="2745"/>
        <v>0</v>
      </c>
      <c r="AC535" s="45">
        <f t="shared" si="2745"/>
        <v>0</v>
      </c>
      <c r="AD535" s="45">
        <f t="shared" si="2745"/>
        <v>0</v>
      </c>
      <c r="AE535" s="45">
        <f t="shared" si="2745"/>
        <v>0</v>
      </c>
      <c r="AF535" s="45">
        <f t="shared" si="2745"/>
        <v>0</v>
      </c>
      <c r="AG535" s="45">
        <f t="shared" si="2745"/>
        <v>4000</v>
      </c>
      <c r="AH535" s="45">
        <f t="shared" si="2745"/>
        <v>0</v>
      </c>
      <c r="AI535" s="45">
        <f t="shared" si="2745"/>
        <v>0</v>
      </c>
      <c r="AJ535" s="45">
        <f t="shared" si="2745"/>
        <v>2000</v>
      </c>
      <c r="AK535" s="45">
        <f t="shared" si="2745"/>
        <v>0</v>
      </c>
      <c r="AL535" s="45">
        <f t="shared" si="2745"/>
        <v>0</v>
      </c>
      <c r="AM535" s="45">
        <f t="shared" si="2745"/>
        <v>2000</v>
      </c>
      <c r="AN535" s="45">
        <f t="shared" si="2745"/>
        <v>0</v>
      </c>
      <c r="AO535" s="45">
        <f t="shared" si="2745"/>
        <v>0</v>
      </c>
      <c r="AP535" s="45">
        <f t="shared" si="2745"/>
        <v>2000</v>
      </c>
      <c r="AQ535" s="45">
        <f t="shared" si="2745"/>
        <v>0</v>
      </c>
      <c r="AR535" s="45">
        <f t="shared" si="2745"/>
        <v>0</v>
      </c>
      <c r="AS535" s="45">
        <f t="shared" si="2745"/>
        <v>0</v>
      </c>
      <c r="AT535" s="45">
        <f t="shared" si="2745"/>
        <v>0</v>
      </c>
      <c r="AU535" s="45">
        <f t="shared" si="2745"/>
        <v>0</v>
      </c>
      <c r="AV535" s="45">
        <f t="shared" si="2745"/>
        <v>0</v>
      </c>
      <c r="AW535" s="45">
        <f t="shared" si="2745"/>
        <v>0</v>
      </c>
      <c r="AX535" s="45">
        <f t="shared" si="2745"/>
        <v>0</v>
      </c>
      <c r="AY535" s="45">
        <f t="shared" si="2745"/>
        <v>0</v>
      </c>
      <c r="AZ535" s="45">
        <f t="shared" si="2745"/>
        <v>0</v>
      </c>
      <c r="BA535" s="45">
        <f t="shared" si="2745"/>
        <v>0</v>
      </c>
      <c r="BB535" s="45">
        <f t="shared" si="2745"/>
        <v>0</v>
      </c>
      <c r="BC535" s="45">
        <f t="shared" si="2745"/>
        <v>0</v>
      </c>
      <c r="BD535" s="45">
        <f t="shared" si="2745"/>
        <v>0</v>
      </c>
      <c r="BE535" s="45">
        <f t="shared" si="2745"/>
        <v>0</v>
      </c>
      <c r="BF535" s="45">
        <f t="shared" si="2745"/>
        <v>0</v>
      </c>
      <c r="BG535" s="45">
        <f t="shared" si="2745"/>
        <v>0</v>
      </c>
      <c r="BH535" s="45">
        <f t="shared" si="2745"/>
        <v>0</v>
      </c>
      <c r="BI535" s="45">
        <f t="shared" si="2745"/>
        <v>0</v>
      </c>
      <c r="BJ535" s="45">
        <f t="shared" si="2745"/>
        <v>0</v>
      </c>
      <c r="BK535" s="45">
        <f t="shared" si="2745"/>
        <v>0</v>
      </c>
      <c r="BL535" s="45">
        <f t="shared" si="2745"/>
        <v>0</v>
      </c>
      <c r="BM535" s="45">
        <f t="shared" si="2745"/>
        <v>0</v>
      </c>
      <c r="BN535" s="45">
        <f t="shared" si="2745"/>
        <v>11200</v>
      </c>
      <c r="BO535" s="45">
        <f t="shared" si="2745"/>
        <v>0</v>
      </c>
      <c r="BP535" s="45">
        <f t="shared" si="2745"/>
        <v>11200</v>
      </c>
      <c r="BQ535" s="45">
        <f t="shared" si="2745"/>
        <v>3200</v>
      </c>
      <c r="BR535" s="45">
        <f t="shared" si="2745"/>
        <v>0</v>
      </c>
      <c r="BS535" s="45">
        <f t="shared" si="2745"/>
        <v>3200</v>
      </c>
      <c r="BT535" s="45">
        <f t="shared" si="2745"/>
        <v>0</v>
      </c>
      <c r="BU535" s="45">
        <f t="shared" si="2745"/>
        <v>11200</v>
      </c>
      <c r="BV535" s="45">
        <f t="shared" si="2745"/>
        <v>3200</v>
      </c>
      <c r="BW535" s="45">
        <f t="shared" si="2745"/>
        <v>14400</v>
      </c>
      <c r="BX535" s="51"/>
      <c r="BY535" s="51"/>
      <c r="BZ535" s="51"/>
      <c r="CA535" s="51"/>
      <c r="CB535" s="51"/>
      <c r="CC535" s="51"/>
      <c r="CD535" s="51"/>
      <c r="CE535" s="51"/>
      <c r="CF535" s="51"/>
      <c r="CG535" s="51"/>
    </row>
    <row r="536" spans="1:85" ht="15.75" customHeight="1">
      <c r="A536" s="366"/>
      <c r="B536" s="355"/>
      <c r="C536" s="68" t="s">
        <v>335</v>
      </c>
      <c r="D536" s="367" t="s">
        <v>664</v>
      </c>
      <c r="E536" s="56">
        <f>52998.39-3986.55</f>
        <v>49011.839999999997</v>
      </c>
      <c r="F536" s="99">
        <v>0</v>
      </c>
      <c r="G536" s="58">
        <f t="shared" ref="G536:G538" si="2746">E536-F536</f>
        <v>49011.839999999997</v>
      </c>
      <c r="H536" s="99">
        <v>0</v>
      </c>
      <c r="I536" s="59">
        <f t="shared" si="2704"/>
        <v>0</v>
      </c>
      <c r="J536" s="59">
        <f t="shared" si="2705"/>
        <v>0</v>
      </c>
      <c r="K536" s="74">
        <v>0</v>
      </c>
      <c r="L536" s="74">
        <v>0</v>
      </c>
      <c r="M536" s="74">
        <v>0</v>
      </c>
      <c r="N536" s="74">
        <v>0</v>
      </c>
      <c r="O536" s="61">
        <f t="shared" ref="O536:Q536" si="2747">AA536+AD536+AG536+AJ536+AM536+AP536+AS536+AV536+AY536+BB536+BE536+BH536</f>
        <v>0</v>
      </c>
      <c r="P536" s="61">
        <f t="shared" si="2747"/>
        <v>0</v>
      </c>
      <c r="Q536" s="61">
        <f t="shared" si="2747"/>
        <v>0</v>
      </c>
      <c r="R536" s="61">
        <f t="shared" ref="R536:T536" si="2748">IF(BK536=0,SUM(AA536+AD536+AG536+AJ536+AM536+AP536+AS536+AV536+AY536+BB536+BE536+BH536),BK536)</f>
        <v>0</v>
      </c>
      <c r="S536" s="61">
        <f t="shared" si="2748"/>
        <v>0</v>
      </c>
      <c r="T536" s="61">
        <f t="shared" si="2748"/>
        <v>0</v>
      </c>
      <c r="U536" s="63">
        <f t="shared" ref="U536:U538" si="2749">K536-O536</f>
        <v>0</v>
      </c>
      <c r="V536" s="63">
        <f t="shared" ref="V536:V538" si="2750">L536-M536-S536</f>
        <v>0</v>
      </c>
      <c r="W536" s="63">
        <f t="shared" ref="W536:W538" si="2751">N536-Q536</f>
        <v>0</v>
      </c>
      <c r="X536" s="64">
        <f t="shared" ref="X536:Y536" si="2752">IF(O536&gt;0,O536/K536,0)</f>
        <v>0</v>
      </c>
      <c r="Y536" s="64">
        <f t="shared" si="2752"/>
        <v>0</v>
      </c>
      <c r="Z536" s="64">
        <f t="shared" si="2708"/>
        <v>0</v>
      </c>
      <c r="AA536" s="65"/>
      <c r="AB536" s="65"/>
      <c r="AC536" s="65"/>
      <c r="AD536" s="65"/>
      <c r="AE536" s="66"/>
      <c r="AF536" s="66"/>
      <c r="AG536" s="66"/>
      <c r="AH536" s="66"/>
      <c r="AI536" s="65"/>
      <c r="AJ536" s="65"/>
      <c r="AK536" s="65"/>
      <c r="AL536" s="65"/>
      <c r="AM536" s="65"/>
      <c r="AN536" s="65"/>
      <c r="AO536" s="65"/>
      <c r="AP536" s="65"/>
      <c r="AQ536" s="65"/>
      <c r="AR536" s="65"/>
      <c r="AS536" s="65"/>
      <c r="AT536" s="65"/>
      <c r="AU536" s="65"/>
      <c r="AV536" s="65"/>
      <c r="AW536" s="65"/>
      <c r="AX536" s="65"/>
      <c r="AY536" s="65"/>
      <c r="AZ536" s="65"/>
      <c r="BA536" s="65"/>
      <c r="BB536" s="65"/>
      <c r="BC536" s="65"/>
      <c r="BD536" s="65"/>
      <c r="BE536" s="65"/>
      <c r="BF536" s="65"/>
      <c r="BG536" s="65"/>
      <c r="BH536" s="65"/>
      <c r="BI536" s="65"/>
      <c r="BJ536" s="65"/>
      <c r="BK536" s="65">
        <v>0</v>
      </c>
      <c r="BL536" s="65">
        <v>0</v>
      </c>
      <c r="BM536" s="65">
        <v>0</v>
      </c>
      <c r="BN536" s="65">
        <f t="shared" ref="BN536:BN538" si="2753">IF(O536-BK536&gt;0,O536-BK536,0)</f>
        <v>0</v>
      </c>
      <c r="BO536" s="67">
        <f t="shared" ref="BO536:BO538" si="2754">IF(Q536-BM536&gt;0,Q536-BM536,0)</f>
        <v>0</v>
      </c>
      <c r="BP536" s="65">
        <f t="shared" ref="BP536:BP538" si="2755">IF(BN536+BO536&gt;0,BN536+BO536,0)</f>
        <v>0</v>
      </c>
      <c r="BQ536" s="65">
        <f t="shared" ref="BQ536:BQ538" si="2756">IF(U536=0,0,U536)</f>
        <v>0</v>
      </c>
      <c r="BR536" s="65">
        <f t="shared" ref="BR536:BR538" si="2757">IF(W536=0,0,W536)</f>
        <v>0</v>
      </c>
      <c r="BS536" s="65">
        <f t="shared" ref="BS536:BS538" si="2758">IF(BQ536+BR536&gt;0,BQ536+BR536,0)</f>
        <v>0</v>
      </c>
      <c r="BT536" s="65">
        <f t="shared" ref="BT536:BT538" si="2759">IF(V536&gt;0,V536,0)</f>
        <v>0</v>
      </c>
      <c r="BU536" s="65">
        <f t="shared" ref="BU536:BU538" si="2760">IF(BP536=0,0,BP536)</f>
        <v>0</v>
      </c>
      <c r="BV536" s="65">
        <f t="shared" ref="BV536:BV538" si="2761">IF(BS536=0,0,BS536)</f>
        <v>0</v>
      </c>
      <c r="BW536" s="65">
        <f t="shared" ref="BW536:BW538" si="2762">IF(BP536+BT536+BV536&gt;0,BP536+BT536+BV536,0)</f>
        <v>0</v>
      </c>
      <c r="BX536" s="6"/>
      <c r="BY536" s="6"/>
      <c r="BZ536" s="6"/>
      <c r="CA536" s="6"/>
      <c r="CB536" s="6"/>
      <c r="CC536" s="6"/>
      <c r="CD536" s="6"/>
      <c r="CE536" s="6"/>
      <c r="CF536" s="6"/>
      <c r="CG536" s="6"/>
    </row>
    <row r="537" spans="1:85" ht="15.75" customHeight="1">
      <c r="A537" s="52" t="s">
        <v>665</v>
      </c>
      <c r="B537" s="355"/>
      <c r="C537" s="68" t="s">
        <v>335</v>
      </c>
      <c r="D537" s="367" t="s">
        <v>666</v>
      </c>
      <c r="E537" s="99">
        <v>0</v>
      </c>
      <c r="F537" s="99">
        <v>0</v>
      </c>
      <c r="G537" s="58">
        <f t="shared" si="2746"/>
        <v>0</v>
      </c>
      <c r="H537" s="99">
        <v>0</v>
      </c>
      <c r="I537" s="59">
        <f t="shared" si="2704"/>
        <v>0</v>
      </c>
      <c r="J537" s="59">
        <f t="shared" si="2705"/>
        <v>0</v>
      </c>
      <c r="K537" s="74">
        <f>11200-1600+4800</f>
        <v>14400</v>
      </c>
      <c r="L537" s="74">
        <v>0</v>
      </c>
      <c r="M537" s="74">
        <v>0</v>
      </c>
      <c r="N537" s="74">
        <v>0</v>
      </c>
      <c r="O537" s="63">
        <f t="shared" ref="O537:Q537" si="2763">AA537+AD537+AG537+AJ537+AM537+AP537+AS537+AV537+AY537+BB537+BE537+BH537</f>
        <v>11200</v>
      </c>
      <c r="P537" s="61">
        <f t="shared" si="2763"/>
        <v>0</v>
      </c>
      <c r="Q537" s="61">
        <f t="shared" si="2763"/>
        <v>0</v>
      </c>
      <c r="R537" s="61">
        <f t="shared" ref="R537:T537" si="2764">IF(BK537=0,SUM(AA537+AD537+AG537+AJ537+AM537+AP537+AS537+AV537+AY537+BB537+BE537+BH537),BK537)</f>
        <v>11200</v>
      </c>
      <c r="S537" s="61">
        <f t="shared" si="2764"/>
        <v>0</v>
      </c>
      <c r="T537" s="61">
        <f t="shared" si="2764"/>
        <v>0</v>
      </c>
      <c r="U537" s="62">
        <f t="shared" si="2749"/>
        <v>3200</v>
      </c>
      <c r="V537" s="63">
        <f t="shared" si="2750"/>
        <v>0</v>
      </c>
      <c r="W537" s="63">
        <f t="shared" si="2751"/>
        <v>0</v>
      </c>
      <c r="X537" s="64">
        <f t="shared" ref="X537:Y537" si="2765">IF(O537&gt;0,O537/K537,0)</f>
        <v>0.77777777777777779</v>
      </c>
      <c r="Y537" s="64">
        <f t="shared" si="2765"/>
        <v>0</v>
      </c>
      <c r="Z537" s="64">
        <f t="shared" si="2708"/>
        <v>0</v>
      </c>
      <c r="AA537" s="100">
        <v>1200</v>
      </c>
      <c r="AB537" s="65"/>
      <c r="AC537" s="65"/>
      <c r="AD537" s="100"/>
      <c r="AE537" s="66"/>
      <c r="AF537" s="66"/>
      <c r="AG537" s="66">
        <f>1200+2000+800</f>
        <v>4000</v>
      </c>
      <c r="AH537" s="66"/>
      <c r="AI537" s="65"/>
      <c r="AJ537" s="100">
        <v>2000</v>
      </c>
      <c r="AK537" s="65"/>
      <c r="AL537" s="65"/>
      <c r="AM537" s="65">
        <f>2000</f>
        <v>2000</v>
      </c>
      <c r="AN537" s="65"/>
      <c r="AO537" s="65"/>
      <c r="AP537" s="65">
        <f>2000</f>
        <v>2000</v>
      </c>
      <c r="AQ537" s="65"/>
      <c r="AR537" s="65"/>
      <c r="AS537" s="65"/>
      <c r="AT537" s="65"/>
      <c r="AU537" s="65"/>
      <c r="AV537" s="65"/>
      <c r="AW537" s="65"/>
      <c r="AX537" s="65"/>
      <c r="AY537" s="65"/>
      <c r="AZ537" s="65"/>
      <c r="BA537" s="65"/>
      <c r="BB537" s="65"/>
      <c r="BC537" s="65"/>
      <c r="BD537" s="65"/>
      <c r="BE537" s="65"/>
      <c r="BF537" s="65"/>
      <c r="BG537" s="65"/>
      <c r="BH537" s="65"/>
      <c r="BI537" s="65"/>
      <c r="BJ537" s="65"/>
      <c r="BK537" s="65">
        <v>0</v>
      </c>
      <c r="BL537" s="65">
        <v>0</v>
      </c>
      <c r="BM537" s="65">
        <v>0</v>
      </c>
      <c r="BN537" s="65">
        <f t="shared" si="2753"/>
        <v>11200</v>
      </c>
      <c r="BO537" s="67">
        <f t="shared" si="2754"/>
        <v>0</v>
      </c>
      <c r="BP537" s="65">
        <f t="shared" si="2755"/>
        <v>11200</v>
      </c>
      <c r="BQ537" s="65">
        <f t="shared" si="2756"/>
        <v>3200</v>
      </c>
      <c r="BR537" s="65">
        <f t="shared" si="2757"/>
        <v>0</v>
      </c>
      <c r="BS537" s="65">
        <f t="shared" si="2758"/>
        <v>3200</v>
      </c>
      <c r="BT537" s="65">
        <f t="shared" si="2759"/>
        <v>0</v>
      </c>
      <c r="BU537" s="65">
        <f t="shared" si="2760"/>
        <v>11200</v>
      </c>
      <c r="BV537" s="65">
        <f t="shared" si="2761"/>
        <v>3200</v>
      </c>
      <c r="BW537" s="65">
        <f t="shared" si="2762"/>
        <v>14400</v>
      </c>
      <c r="BX537" s="6"/>
      <c r="BY537" s="6"/>
      <c r="BZ537" s="6"/>
      <c r="CA537" s="6"/>
      <c r="CB537" s="6"/>
      <c r="CC537" s="6"/>
      <c r="CD537" s="6"/>
      <c r="CE537" s="6"/>
      <c r="CF537" s="6"/>
      <c r="CG537" s="6"/>
    </row>
    <row r="538" spans="1:85" ht="15.75" customHeight="1">
      <c r="A538" s="68"/>
      <c r="B538" s="69"/>
      <c r="C538" s="68" t="s">
        <v>667</v>
      </c>
      <c r="D538" s="368" t="s">
        <v>668</v>
      </c>
      <c r="E538" s="99">
        <v>0</v>
      </c>
      <c r="F538" s="99">
        <v>0</v>
      </c>
      <c r="G538" s="58">
        <f t="shared" si="2746"/>
        <v>0</v>
      </c>
      <c r="H538" s="99">
        <v>0</v>
      </c>
      <c r="I538" s="59">
        <f t="shared" si="2704"/>
        <v>0</v>
      </c>
      <c r="J538" s="59">
        <f t="shared" si="2705"/>
        <v>0</v>
      </c>
      <c r="K538" s="74">
        <v>0</v>
      </c>
      <c r="L538" s="74">
        <v>0</v>
      </c>
      <c r="M538" s="74">
        <v>0</v>
      </c>
      <c r="N538" s="74">
        <v>0</v>
      </c>
      <c r="O538" s="61">
        <f t="shared" ref="O538:Q538" si="2766">AA538+AD538+AG538+AJ538+AM538+AP538+AS538+AV538+AY538+BB538+BE538+BH538</f>
        <v>0</v>
      </c>
      <c r="P538" s="61">
        <f t="shared" si="2766"/>
        <v>0</v>
      </c>
      <c r="Q538" s="61">
        <f t="shared" si="2766"/>
        <v>0</v>
      </c>
      <c r="R538" s="61">
        <f t="shared" ref="R538:T538" si="2767">IF(BK538=0,SUM(AA538+AD538+AG538+AJ538+AM538+AP538+AS538+AV538+AY538+BB538+BE538+BH538),BK538)</f>
        <v>0</v>
      </c>
      <c r="S538" s="61">
        <f t="shared" si="2767"/>
        <v>0</v>
      </c>
      <c r="T538" s="61">
        <f t="shared" si="2767"/>
        <v>0</v>
      </c>
      <c r="U538" s="63">
        <f t="shared" si="2749"/>
        <v>0</v>
      </c>
      <c r="V538" s="63">
        <f t="shared" si="2750"/>
        <v>0</v>
      </c>
      <c r="W538" s="63">
        <f t="shared" si="2751"/>
        <v>0</v>
      </c>
      <c r="X538" s="64">
        <f t="shared" ref="X538:Y538" si="2768">IF(O538&gt;0,O538/K538,0)</f>
        <v>0</v>
      </c>
      <c r="Y538" s="64">
        <f t="shared" si="2768"/>
        <v>0</v>
      </c>
      <c r="Z538" s="64">
        <f t="shared" si="2708"/>
        <v>0</v>
      </c>
      <c r="AA538" s="65"/>
      <c r="AB538" s="65"/>
      <c r="AC538" s="65"/>
      <c r="AD538" s="65"/>
      <c r="AE538" s="66"/>
      <c r="AF538" s="66"/>
      <c r="AG538" s="66"/>
      <c r="AH538" s="66"/>
      <c r="AI538" s="65"/>
      <c r="AJ538" s="65"/>
      <c r="AK538" s="65"/>
      <c r="AL538" s="65"/>
      <c r="AM538" s="65"/>
      <c r="AN538" s="65"/>
      <c r="AO538" s="65"/>
      <c r="AP538" s="65"/>
      <c r="AQ538" s="65"/>
      <c r="AR538" s="65"/>
      <c r="AS538" s="65"/>
      <c r="AT538" s="65"/>
      <c r="AU538" s="65"/>
      <c r="AV538" s="65"/>
      <c r="AW538" s="65"/>
      <c r="AX538" s="65"/>
      <c r="AY538" s="65"/>
      <c r="AZ538" s="65"/>
      <c r="BA538" s="65"/>
      <c r="BB538" s="65"/>
      <c r="BC538" s="65"/>
      <c r="BD538" s="65"/>
      <c r="BE538" s="65"/>
      <c r="BF538" s="65"/>
      <c r="BG538" s="65"/>
      <c r="BH538" s="65"/>
      <c r="BI538" s="65"/>
      <c r="BJ538" s="65"/>
      <c r="BK538" s="65">
        <v>0</v>
      </c>
      <c r="BL538" s="65">
        <v>0</v>
      </c>
      <c r="BM538" s="65">
        <v>0</v>
      </c>
      <c r="BN538" s="65">
        <f t="shared" si="2753"/>
        <v>0</v>
      </c>
      <c r="BO538" s="67">
        <f t="shared" si="2754"/>
        <v>0</v>
      </c>
      <c r="BP538" s="65">
        <f t="shared" si="2755"/>
        <v>0</v>
      </c>
      <c r="BQ538" s="65">
        <f t="shared" si="2756"/>
        <v>0</v>
      </c>
      <c r="BR538" s="65">
        <f t="shared" si="2757"/>
        <v>0</v>
      </c>
      <c r="BS538" s="65">
        <f t="shared" si="2758"/>
        <v>0</v>
      </c>
      <c r="BT538" s="65">
        <f t="shared" si="2759"/>
        <v>0</v>
      </c>
      <c r="BU538" s="65">
        <f t="shared" si="2760"/>
        <v>0</v>
      </c>
      <c r="BV538" s="65">
        <f t="shared" si="2761"/>
        <v>0</v>
      </c>
      <c r="BW538" s="65">
        <f t="shared" si="2762"/>
        <v>0</v>
      </c>
      <c r="BX538" s="6"/>
      <c r="BY538" s="6"/>
      <c r="BZ538" s="6"/>
      <c r="CA538" s="6"/>
      <c r="CB538" s="6"/>
      <c r="CC538" s="6"/>
      <c r="CD538" s="6"/>
      <c r="CE538" s="6"/>
      <c r="CF538" s="6"/>
      <c r="CG538" s="6"/>
    </row>
    <row r="539" spans="1:85" ht="15.75" customHeight="1">
      <c r="A539" s="260"/>
      <c r="B539" s="261"/>
      <c r="C539" s="262"/>
      <c r="D539" s="78" t="s">
        <v>339</v>
      </c>
      <c r="E539" s="45">
        <f t="shared" ref="E539:H539" si="2769">E540</f>
        <v>6000</v>
      </c>
      <c r="F539" s="46">
        <f t="shared" si="2769"/>
        <v>0</v>
      </c>
      <c r="G539" s="46">
        <f t="shared" si="2769"/>
        <v>6000</v>
      </c>
      <c r="H539" s="46">
        <f t="shared" si="2769"/>
        <v>0</v>
      </c>
      <c r="I539" s="47">
        <f t="shared" si="2704"/>
        <v>0</v>
      </c>
      <c r="J539" s="47">
        <f t="shared" si="2705"/>
        <v>0</v>
      </c>
      <c r="K539" s="46">
        <f t="shared" ref="K539:W539" si="2770">K540</f>
        <v>0</v>
      </c>
      <c r="L539" s="46">
        <f t="shared" si="2770"/>
        <v>0</v>
      </c>
      <c r="M539" s="46">
        <f t="shared" si="2770"/>
        <v>0</v>
      </c>
      <c r="N539" s="46">
        <f t="shared" si="2770"/>
        <v>0</v>
      </c>
      <c r="O539" s="46">
        <f t="shared" si="2770"/>
        <v>0</v>
      </c>
      <c r="P539" s="46">
        <f t="shared" si="2770"/>
        <v>0</v>
      </c>
      <c r="Q539" s="46">
        <f t="shared" si="2770"/>
        <v>0</v>
      </c>
      <c r="R539" s="46">
        <f t="shared" si="2770"/>
        <v>0</v>
      </c>
      <c r="S539" s="46">
        <f t="shared" si="2770"/>
        <v>0</v>
      </c>
      <c r="T539" s="46">
        <f t="shared" si="2770"/>
        <v>0</v>
      </c>
      <c r="U539" s="46">
        <f t="shared" si="2770"/>
        <v>0</v>
      </c>
      <c r="V539" s="46">
        <f t="shared" si="2770"/>
        <v>0</v>
      </c>
      <c r="W539" s="46">
        <f t="shared" si="2770"/>
        <v>0</v>
      </c>
      <c r="X539" s="50">
        <f t="shared" ref="X539:Y539" si="2771">IF(O539&gt;0,O539/K539,0)</f>
        <v>0</v>
      </c>
      <c r="Y539" s="50">
        <f t="shared" si="2771"/>
        <v>0</v>
      </c>
      <c r="Z539" s="50">
        <f t="shared" si="2708"/>
        <v>0</v>
      </c>
      <c r="AA539" s="46">
        <f t="shared" ref="AA539:BW539" si="2772">AA540</f>
        <v>0</v>
      </c>
      <c r="AB539" s="46">
        <f t="shared" si="2772"/>
        <v>0</v>
      </c>
      <c r="AC539" s="46">
        <f t="shared" si="2772"/>
        <v>0</v>
      </c>
      <c r="AD539" s="46">
        <f t="shared" si="2772"/>
        <v>0</v>
      </c>
      <c r="AE539" s="46">
        <f t="shared" si="2772"/>
        <v>0</v>
      </c>
      <c r="AF539" s="46">
        <f t="shared" si="2772"/>
        <v>0</v>
      </c>
      <c r="AG539" s="46">
        <f t="shared" si="2772"/>
        <v>0</v>
      </c>
      <c r="AH539" s="46">
        <f t="shared" si="2772"/>
        <v>0</v>
      </c>
      <c r="AI539" s="46">
        <f t="shared" si="2772"/>
        <v>0</v>
      </c>
      <c r="AJ539" s="46">
        <f t="shared" si="2772"/>
        <v>0</v>
      </c>
      <c r="AK539" s="46">
        <f t="shared" si="2772"/>
        <v>0</v>
      </c>
      <c r="AL539" s="46">
        <f t="shared" si="2772"/>
        <v>0</v>
      </c>
      <c r="AM539" s="46">
        <f t="shared" si="2772"/>
        <v>0</v>
      </c>
      <c r="AN539" s="46">
        <f t="shared" si="2772"/>
        <v>0</v>
      </c>
      <c r="AO539" s="46">
        <f t="shared" si="2772"/>
        <v>0</v>
      </c>
      <c r="AP539" s="46">
        <f t="shared" si="2772"/>
        <v>0</v>
      </c>
      <c r="AQ539" s="46">
        <f t="shared" si="2772"/>
        <v>0</v>
      </c>
      <c r="AR539" s="46">
        <f t="shared" si="2772"/>
        <v>0</v>
      </c>
      <c r="AS539" s="46">
        <f t="shared" si="2772"/>
        <v>0</v>
      </c>
      <c r="AT539" s="46">
        <f t="shared" si="2772"/>
        <v>0</v>
      </c>
      <c r="AU539" s="46">
        <f t="shared" si="2772"/>
        <v>0</v>
      </c>
      <c r="AV539" s="46">
        <f t="shared" si="2772"/>
        <v>0</v>
      </c>
      <c r="AW539" s="46">
        <f t="shared" si="2772"/>
        <v>0</v>
      </c>
      <c r="AX539" s="46">
        <f t="shared" si="2772"/>
        <v>0</v>
      </c>
      <c r="AY539" s="46">
        <f t="shared" si="2772"/>
        <v>0</v>
      </c>
      <c r="AZ539" s="46">
        <f t="shared" si="2772"/>
        <v>0</v>
      </c>
      <c r="BA539" s="46">
        <f t="shared" si="2772"/>
        <v>0</v>
      </c>
      <c r="BB539" s="46">
        <f t="shared" si="2772"/>
        <v>0</v>
      </c>
      <c r="BC539" s="46">
        <f t="shared" si="2772"/>
        <v>0</v>
      </c>
      <c r="BD539" s="46">
        <f t="shared" si="2772"/>
        <v>0</v>
      </c>
      <c r="BE539" s="46">
        <f t="shared" si="2772"/>
        <v>0</v>
      </c>
      <c r="BF539" s="46">
        <f t="shared" si="2772"/>
        <v>0</v>
      </c>
      <c r="BG539" s="46">
        <f t="shared" si="2772"/>
        <v>0</v>
      </c>
      <c r="BH539" s="46">
        <f t="shared" si="2772"/>
        <v>0</v>
      </c>
      <c r="BI539" s="46">
        <f t="shared" si="2772"/>
        <v>0</v>
      </c>
      <c r="BJ539" s="46">
        <f t="shared" si="2772"/>
        <v>0</v>
      </c>
      <c r="BK539" s="46">
        <f t="shared" si="2772"/>
        <v>0</v>
      </c>
      <c r="BL539" s="46">
        <f t="shared" si="2772"/>
        <v>0</v>
      </c>
      <c r="BM539" s="46">
        <f t="shared" si="2772"/>
        <v>0</v>
      </c>
      <c r="BN539" s="46">
        <f t="shared" si="2772"/>
        <v>0</v>
      </c>
      <c r="BO539" s="46">
        <f t="shared" si="2772"/>
        <v>0</v>
      </c>
      <c r="BP539" s="46">
        <f t="shared" si="2772"/>
        <v>0</v>
      </c>
      <c r="BQ539" s="46">
        <f t="shared" si="2772"/>
        <v>0</v>
      </c>
      <c r="BR539" s="46">
        <f t="shared" si="2772"/>
        <v>0</v>
      </c>
      <c r="BS539" s="46">
        <f t="shared" si="2772"/>
        <v>0</v>
      </c>
      <c r="BT539" s="46">
        <f t="shared" si="2772"/>
        <v>0</v>
      </c>
      <c r="BU539" s="46">
        <f t="shared" si="2772"/>
        <v>0</v>
      </c>
      <c r="BV539" s="46">
        <f t="shared" si="2772"/>
        <v>0</v>
      </c>
      <c r="BW539" s="46">
        <f t="shared" si="2772"/>
        <v>0</v>
      </c>
      <c r="BX539" s="6"/>
      <c r="BY539" s="6"/>
      <c r="BZ539" s="6"/>
      <c r="CA539" s="6"/>
      <c r="CB539" s="6"/>
      <c r="CC539" s="6"/>
      <c r="CD539" s="6"/>
      <c r="CE539" s="6"/>
      <c r="CF539" s="6"/>
      <c r="CG539" s="6"/>
    </row>
    <row r="540" spans="1:85" ht="15.75" customHeight="1">
      <c r="A540" s="68"/>
      <c r="B540" s="69"/>
      <c r="C540" s="68" t="s">
        <v>340</v>
      </c>
      <c r="D540" s="70" t="s">
        <v>333</v>
      </c>
      <c r="E540" s="56">
        <v>6000</v>
      </c>
      <c r="F540" s="99">
        <v>0</v>
      </c>
      <c r="G540" s="58">
        <f>E540-F540</f>
        <v>6000</v>
      </c>
      <c r="H540" s="99">
        <v>0</v>
      </c>
      <c r="I540" s="59">
        <f t="shared" si="2704"/>
        <v>0</v>
      </c>
      <c r="J540" s="59">
        <f t="shared" si="2705"/>
        <v>0</v>
      </c>
      <c r="K540" s="74">
        <v>0</v>
      </c>
      <c r="L540" s="74">
        <v>0</v>
      </c>
      <c r="M540" s="74">
        <v>0</v>
      </c>
      <c r="N540" s="74">
        <v>0</v>
      </c>
      <c r="O540" s="61">
        <f t="shared" ref="O540:Q540" si="2773">AA540+AD540+AG540+AJ540+AM540+AP540+AS540+AV540+AY540+BB540+BE540+BH540</f>
        <v>0</v>
      </c>
      <c r="P540" s="61">
        <f t="shared" si="2773"/>
        <v>0</v>
      </c>
      <c r="Q540" s="61">
        <f t="shared" si="2773"/>
        <v>0</v>
      </c>
      <c r="R540" s="61">
        <f t="shared" ref="R540:T540" si="2774">IF(BK540=0,SUM(AA540+AD540+AG540+AJ540+AM540+AP540+AS540+AV540+AY540+BB540+BE540+BH540),BK540)</f>
        <v>0</v>
      </c>
      <c r="S540" s="61">
        <f t="shared" si="2774"/>
        <v>0</v>
      </c>
      <c r="T540" s="61">
        <f t="shared" si="2774"/>
        <v>0</v>
      </c>
      <c r="U540" s="63">
        <f>K540-O540</f>
        <v>0</v>
      </c>
      <c r="V540" s="63">
        <f>L540-M540-S540</f>
        <v>0</v>
      </c>
      <c r="W540" s="63">
        <f>N540-Q540</f>
        <v>0</v>
      </c>
      <c r="X540" s="64">
        <f t="shared" ref="X540:Y540" si="2775">IF(O540&gt;0,O540/K540,0)</f>
        <v>0</v>
      </c>
      <c r="Y540" s="64">
        <f t="shared" si="2775"/>
        <v>0</v>
      </c>
      <c r="Z540" s="64">
        <f t="shared" si="2708"/>
        <v>0</v>
      </c>
      <c r="AA540" s="65"/>
      <c r="AB540" s="65"/>
      <c r="AC540" s="65"/>
      <c r="AD540" s="65"/>
      <c r="AE540" s="66"/>
      <c r="AF540" s="66"/>
      <c r="AG540" s="66"/>
      <c r="AH540" s="66"/>
      <c r="AI540" s="65"/>
      <c r="AJ540" s="65"/>
      <c r="AK540" s="65"/>
      <c r="AL540" s="65"/>
      <c r="AM540" s="65"/>
      <c r="AN540" s="65"/>
      <c r="AO540" s="65"/>
      <c r="AP540" s="65"/>
      <c r="AQ540" s="65"/>
      <c r="AR540" s="65"/>
      <c r="AS540" s="65"/>
      <c r="AT540" s="65"/>
      <c r="AU540" s="65"/>
      <c r="AV540" s="65"/>
      <c r="AW540" s="65"/>
      <c r="AX540" s="65"/>
      <c r="AY540" s="65"/>
      <c r="AZ540" s="65"/>
      <c r="BA540" s="65"/>
      <c r="BB540" s="65"/>
      <c r="BC540" s="65"/>
      <c r="BD540" s="65"/>
      <c r="BE540" s="65"/>
      <c r="BF540" s="65"/>
      <c r="BG540" s="65"/>
      <c r="BH540" s="65"/>
      <c r="BI540" s="65"/>
      <c r="BJ540" s="65"/>
      <c r="BK540" s="65">
        <v>0</v>
      </c>
      <c r="BL540" s="65">
        <v>0</v>
      </c>
      <c r="BM540" s="65">
        <v>0</v>
      </c>
      <c r="BN540" s="65">
        <f>IF(O540-BK540&gt;0,O540-BK540,0)</f>
        <v>0</v>
      </c>
      <c r="BO540" s="67">
        <f>IF(Q540-BM540&gt;0,Q540-BM540,0)</f>
        <v>0</v>
      </c>
      <c r="BP540" s="65">
        <f>IF(BN540+BO540&gt;0,BN540+BO540,0)</f>
        <v>0</v>
      </c>
      <c r="BQ540" s="65">
        <f>IF(U540=0,0,U540)</f>
        <v>0</v>
      </c>
      <c r="BR540" s="65">
        <f>IF(W540=0,0,W540)</f>
        <v>0</v>
      </c>
      <c r="BS540" s="65">
        <f>IF(BQ540+BR540&gt;0,BQ540+BR540,0)</f>
        <v>0</v>
      </c>
      <c r="BT540" s="65">
        <f>IF(V540&gt;0,V540,0)</f>
        <v>0</v>
      </c>
      <c r="BU540" s="65">
        <f>IF(BP540=0,0,BP540)</f>
        <v>0</v>
      </c>
      <c r="BV540" s="65">
        <f>IF(BS540=0,0,BS540)</f>
        <v>0</v>
      </c>
      <c r="BW540" s="65">
        <f>IF(BP540+BT540+BV540&gt;0,BP540+BT540+BV540,0)</f>
        <v>0</v>
      </c>
      <c r="BX540" s="6"/>
      <c r="BY540" s="6"/>
      <c r="BZ540" s="6"/>
      <c r="CA540" s="6"/>
      <c r="CB540" s="6"/>
      <c r="CC540" s="6"/>
      <c r="CD540" s="6"/>
      <c r="CE540" s="6"/>
      <c r="CF540" s="6"/>
      <c r="CG540" s="6"/>
    </row>
    <row r="541" spans="1:85" ht="15.75" customHeight="1">
      <c r="A541" s="260"/>
      <c r="B541" s="261"/>
      <c r="C541" s="262"/>
      <c r="D541" s="78" t="s">
        <v>247</v>
      </c>
      <c r="E541" s="45">
        <f t="shared" ref="E541:H541" si="2776">E542</f>
        <v>1200</v>
      </c>
      <c r="F541" s="46">
        <f t="shared" si="2776"/>
        <v>0</v>
      </c>
      <c r="G541" s="46">
        <f t="shared" si="2776"/>
        <v>1200</v>
      </c>
      <c r="H541" s="46">
        <f t="shared" si="2776"/>
        <v>0</v>
      </c>
      <c r="I541" s="47">
        <f t="shared" si="2704"/>
        <v>0</v>
      </c>
      <c r="J541" s="47">
        <f t="shared" si="2705"/>
        <v>0</v>
      </c>
      <c r="K541" s="46">
        <f t="shared" ref="K541:W541" si="2777">K542</f>
        <v>0</v>
      </c>
      <c r="L541" s="46">
        <f t="shared" si="2777"/>
        <v>0</v>
      </c>
      <c r="M541" s="46">
        <f t="shared" si="2777"/>
        <v>0</v>
      </c>
      <c r="N541" s="46">
        <f t="shared" si="2777"/>
        <v>0</v>
      </c>
      <c r="O541" s="46">
        <f t="shared" si="2777"/>
        <v>0</v>
      </c>
      <c r="P541" s="46">
        <f t="shared" si="2777"/>
        <v>0</v>
      </c>
      <c r="Q541" s="46">
        <f t="shared" si="2777"/>
        <v>0</v>
      </c>
      <c r="R541" s="46">
        <f t="shared" si="2777"/>
        <v>0</v>
      </c>
      <c r="S541" s="46">
        <f t="shared" si="2777"/>
        <v>0</v>
      </c>
      <c r="T541" s="46">
        <f t="shared" si="2777"/>
        <v>0</v>
      </c>
      <c r="U541" s="46">
        <f t="shared" si="2777"/>
        <v>0</v>
      </c>
      <c r="V541" s="46">
        <f t="shared" si="2777"/>
        <v>0</v>
      </c>
      <c r="W541" s="46">
        <f t="shared" si="2777"/>
        <v>0</v>
      </c>
      <c r="X541" s="50">
        <f t="shared" ref="X541:Y541" si="2778">IF(O541&gt;0,O541/K541,0)</f>
        <v>0</v>
      </c>
      <c r="Y541" s="50">
        <f t="shared" si="2778"/>
        <v>0</v>
      </c>
      <c r="Z541" s="50">
        <f t="shared" si="2708"/>
        <v>0</v>
      </c>
      <c r="AA541" s="46">
        <f t="shared" ref="AA541:BW541" si="2779">AA542</f>
        <v>0</v>
      </c>
      <c r="AB541" s="46">
        <f t="shared" si="2779"/>
        <v>0</v>
      </c>
      <c r="AC541" s="46">
        <f t="shared" si="2779"/>
        <v>0</v>
      </c>
      <c r="AD541" s="46">
        <f t="shared" si="2779"/>
        <v>0</v>
      </c>
      <c r="AE541" s="46">
        <f t="shared" si="2779"/>
        <v>0</v>
      </c>
      <c r="AF541" s="46">
        <f t="shared" si="2779"/>
        <v>0</v>
      </c>
      <c r="AG541" s="46">
        <f t="shared" si="2779"/>
        <v>0</v>
      </c>
      <c r="AH541" s="46">
        <f t="shared" si="2779"/>
        <v>0</v>
      </c>
      <c r="AI541" s="46">
        <f t="shared" si="2779"/>
        <v>0</v>
      </c>
      <c r="AJ541" s="46">
        <f t="shared" si="2779"/>
        <v>0</v>
      </c>
      <c r="AK541" s="46">
        <f t="shared" si="2779"/>
        <v>0</v>
      </c>
      <c r="AL541" s="46">
        <f t="shared" si="2779"/>
        <v>0</v>
      </c>
      <c r="AM541" s="46">
        <f t="shared" si="2779"/>
        <v>0</v>
      </c>
      <c r="AN541" s="46">
        <f t="shared" si="2779"/>
        <v>0</v>
      </c>
      <c r="AO541" s="46">
        <f t="shared" si="2779"/>
        <v>0</v>
      </c>
      <c r="AP541" s="46">
        <f t="shared" si="2779"/>
        <v>0</v>
      </c>
      <c r="AQ541" s="46">
        <f t="shared" si="2779"/>
        <v>0</v>
      </c>
      <c r="AR541" s="46">
        <f t="shared" si="2779"/>
        <v>0</v>
      </c>
      <c r="AS541" s="46">
        <f t="shared" si="2779"/>
        <v>0</v>
      </c>
      <c r="AT541" s="46">
        <f t="shared" si="2779"/>
        <v>0</v>
      </c>
      <c r="AU541" s="46">
        <f t="shared" si="2779"/>
        <v>0</v>
      </c>
      <c r="AV541" s="46">
        <f t="shared" si="2779"/>
        <v>0</v>
      </c>
      <c r="AW541" s="46">
        <f t="shared" si="2779"/>
        <v>0</v>
      </c>
      <c r="AX541" s="46">
        <f t="shared" si="2779"/>
        <v>0</v>
      </c>
      <c r="AY541" s="46">
        <f t="shared" si="2779"/>
        <v>0</v>
      </c>
      <c r="AZ541" s="46">
        <f t="shared" si="2779"/>
        <v>0</v>
      </c>
      <c r="BA541" s="46">
        <f t="shared" si="2779"/>
        <v>0</v>
      </c>
      <c r="BB541" s="46">
        <f t="shared" si="2779"/>
        <v>0</v>
      </c>
      <c r="BC541" s="46">
        <f t="shared" si="2779"/>
        <v>0</v>
      </c>
      <c r="BD541" s="46">
        <f t="shared" si="2779"/>
        <v>0</v>
      </c>
      <c r="BE541" s="46">
        <f t="shared" si="2779"/>
        <v>0</v>
      </c>
      <c r="BF541" s="46">
        <f t="shared" si="2779"/>
        <v>0</v>
      </c>
      <c r="BG541" s="46">
        <f t="shared" si="2779"/>
        <v>0</v>
      </c>
      <c r="BH541" s="46">
        <f t="shared" si="2779"/>
        <v>0</v>
      </c>
      <c r="BI541" s="46">
        <f t="shared" si="2779"/>
        <v>0</v>
      </c>
      <c r="BJ541" s="46">
        <f t="shared" si="2779"/>
        <v>0</v>
      </c>
      <c r="BK541" s="46">
        <f t="shared" si="2779"/>
        <v>0</v>
      </c>
      <c r="BL541" s="46">
        <f t="shared" si="2779"/>
        <v>0</v>
      </c>
      <c r="BM541" s="46">
        <f t="shared" si="2779"/>
        <v>0</v>
      </c>
      <c r="BN541" s="46">
        <f t="shared" si="2779"/>
        <v>0</v>
      </c>
      <c r="BO541" s="46">
        <f t="shared" si="2779"/>
        <v>0</v>
      </c>
      <c r="BP541" s="46">
        <f t="shared" si="2779"/>
        <v>0</v>
      </c>
      <c r="BQ541" s="46">
        <f t="shared" si="2779"/>
        <v>0</v>
      </c>
      <c r="BR541" s="46">
        <f t="shared" si="2779"/>
        <v>0</v>
      </c>
      <c r="BS541" s="46">
        <f t="shared" si="2779"/>
        <v>0</v>
      </c>
      <c r="BT541" s="46">
        <f t="shared" si="2779"/>
        <v>0</v>
      </c>
      <c r="BU541" s="46">
        <f t="shared" si="2779"/>
        <v>0</v>
      </c>
      <c r="BV541" s="46">
        <f t="shared" si="2779"/>
        <v>0</v>
      </c>
      <c r="BW541" s="46">
        <f t="shared" si="2779"/>
        <v>0</v>
      </c>
      <c r="BX541" s="6"/>
      <c r="BY541" s="6"/>
      <c r="BZ541" s="6"/>
      <c r="CA541" s="6"/>
      <c r="CB541" s="6"/>
      <c r="CC541" s="6"/>
      <c r="CD541" s="6"/>
      <c r="CE541" s="6"/>
      <c r="CF541" s="6"/>
      <c r="CG541" s="6"/>
    </row>
    <row r="542" spans="1:85" ht="15.75" customHeight="1">
      <c r="A542" s="71"/>
      <c r="B542" s="72"/>
      <c r="C542" s="71" t="s">
        <v>342</v>
      </c>
      <c r="D542" s="73" t="s">
        <v>343</v>
      </c>
      <c r="E542" s="56">
        <v>1200</v>
      </c>
      <c r="F542" s="99">
        <v>0</v>
      </c>
      <c r="G542" s="58">
        <f>E542-F542</f>
        <v>1200</v>
      </c>
      <c r="H542" s="99">
        <v>0</v>
      </c>
      <c r="I542" s="59">
        <f t="shared" si="2704"/>
        <v>0</v>
      </c>
      <c r="J542" s="59">
        <f t="shared" si="2705"/>
        <v>0</v>
      </c>
      <c r="K542" s="74">
        <v>0</v>
      </c>
      <c r="L542" s="74">
        <v>0</v>
      </c>
      <c r="M542" s="74">
        <v>0</v>
      </c>
      <c r="N542" s="74">
        <v>0</v>
      </c>
      <c r="O542" s="61">
        <f t="shared" ref="O542:Q542" si="2780">AA542+AD542+AG542+AJ542+AM542+AP542+AS542+AV542+AY542+BB542+BE542+BH542</f>
        <v>0</v>
      </c>
      <c r="P542" s="61">
        <f t="shared" si="2780"/>
        <v>0</v>
      </c>
      <c r="Q542" s="61">
        <f t="shared" si="2780"/>
        <v>0</v>
      </c>
      <c r="R542" s="61">
        <f t="shared" ref="R542:T542" si="2781">IF(BK542=0,SUM(AA542+AD542+AG542+AJ542+AM542+AP542+AS542+AV542+AY542+BB542+BE542+BH542),BK542)</f>
        <v>0</v>
      </c>
      <c r="S542" s="61">
        <f t="shared" si="2781"/>
        <v>0</v>
      </c>
      <c r="T542" s="61">
        <f t="shared" si="2781"/>
        <v>0</v>
      </c>
      <c r="U542" s="63">
        <f>K542-O542</f>
        <v>0</v>
      </c>
      <c r="V542" s="63">
        <f>L542-M542-S542</f>
        <v>0</v>
      </c>
      <c r="W542" s="63">
        <f>N542-Q542</f>
        <v>0</v>
      </c>
      <c r="X542" s="64">
        <f t="shared" ref="X542:Y542" si="2782">IF(O542&gt;0,O542/K542,0)</f>
        <v>0</v>
      </c>
      <c r="Y542" s="64">
        <f t="shared" si="2782"/>
        <v>0</v>
      </c>
      <c r="Z542" s="64">
        <f t="shared" si="2708"/>
        <v>0</v>
      </c>
      <c r="AA542" s="65"/>
      <c r="AB542" s="65"/>
      <c r="AC542" s="65"/>
      <c r="AD542" s="65"/>
      <c r="AE542" s="66"/>
      <c r="AF542" s="66"/>
      <c r="AG542" s="66"/>
      <c r="AH542" s="66"/>
      <c r="AI542" s="65"/>
      <c r="AJ542" s="65"/>
      <c r="AK542" s="65"/>
      <c r="AL542" s="65"/>
      <c r="AM542" s="65"/>
      <c r="AN542" s="65"/>
      <c r="AO542" s="65"/>
      <c r="AP542" s="65"/>
      <c r="AQ542" s="65"/>
      <c r="AR542" s="65"/>
      <c r="AS542" s="65"/>
      <c r="AT542" s="65"/>
      <c r="AU542" s="65"/>
      <c r="AV542" s="65"/>
      <c r="AW542" s="65"/>
      <c r="AX542" s="65"/>
      <c r="AY542" s="65"/>
      <c r="AZ542" s="65"/>
      <c r="BA542" s="65"/>
      <c r="BB542" s="65"/>
      <c r="BC542" s="65"/>
      <c r="BD542" s="65"/>
      <c r="BE542" s="65"/>
      <c r="BF542" s="65"/>
      <c r="BG542" s="65"/>
      <c r="BH542" s="65"/>
      <c r="BI542" s="65"/>
      <c r="BJ542" s="65"/>
      <c r="BK542" s="65">
        <v>0</v>
      </c>
      <c r="BL542" s="65">
        <v>0</v>
      </c>
      <c r="BM542" s="65">
        <v>0</v>
      </c>
      <c r="BN542" s="65">
        <f>IF(O542-BK542&gt;0,O542-BK542,0)</f>
        <v>0</v>
      </c>
      <c r="BO542" s="67">
        <f>IF(Q542-BM542&gt;0,Q542-BM542,0)</f>
        <v>0</v>
      </c>
      <c r="BP542" s="65">
        <f>IF(BN542+BO542&gt;0,BN542+BO542,0)</f>
        <v>0</v>
      </c>
      <c r="BQ542" s="65">
        <f>IF(U542=0,0,U542)</f>
        <v>0</v>
      </c>
      <c r="BR542" s="65">
        <f>IF(W542=0,0,W542)</f>
        <v>0</v>
      </c>
      <c r="BS542" s="65">
        <f>IF(BQ542+BR542&gt;0,BQ542+BR542,0)</f>
        <v>0</v>
      </c>
      <c r="BT542" s="65">
        <f>IF(V542&gt;0,V542,0)</f>
        <v>0</v>
      </c>
      <c r="BU542" s="65">
        <f>IF(BP542=0,0,BP542)</f>
        <v>0</v>
      </c>
      <c r="BV542" s="65">
        <f>IF(BS542=0,0,BS542)</f>
        <v>0</v>
      </c>
      <c r="BW542" s="65">
        <f>IF(BP542+BT542+BV542&gt;0,BP542+BT542+BV542,0)</f>
        <v>0</v>
      </c>
      <c r="BX542" s="6"/>
      <c r="BY542" s="6"/>
      <c r="BZ542" s="6"/>
      <c r="CA542" s="6"/>
      <c r="CB542" s="6"/>
      <c r="CC542" s="6"/>
      <c r="CD542" s="6"/>
      <c r="CE542" s="6"/>
      <c r="CF542" s="6"/>
      <c r="CG542" s="6"/>
    </row>
    <row r="543" spans="1:85" ht="15.75" customHeight="1">
      <c r="A543" s="369"/>
      <c r="B543" s="326"/>
      <c r="C543" s="327"/>
      <c r="D543" s="328" t="s">
        <v>669</v>
      </c>
      <c r="E543" s="329">
        <f t="shared" ref="E543:H543" si="2783">E544+E550+E552+E556</f>
        <v>50500</v>
      </c>
      <c r="F543" s="329">
        <f t="shared" si="2783"/>
        <v>0</v>
      </c>
      <c r="G543" s="329">
        <f t="shared" si="2783"/>
        <v>50500</v>
      </c>
      <c r="H543" s="329">
        <f t="shared" si="2783"/>
        <v>0</v>
      </c>
      <c r="I543" s="330">
        <f t="shared" si="2704"/>
        <v>2.7722772277227723E-2</v>
      </c>
      <c r="J543" s="330">
        <f t="shared" si="2705"/>
        <v>5.1338613861386133E-3</v>
      </c>
      <c r="K543" s="329">
        <f t="shared" ref="K543:W543" si="2784">K544+K550+K552+K556</f>
        <v>1400</v>
      </c>
      <c r="L543" s="329">
        <f t="shared" si="2784"/>
        <v>0</v>
      </c>
      <c r="M543" s="329">
        <f t="shared" si="2784"/>
        <v>0</v>
      </c>
      <c r="N543" s="329">
        <f t="shared" si="2784"/>
        <v>0</v>
      </c>
      <c r="O543" s="329">
        <f t="shared" si="2784"/>
        <v>259.26</v>
      </c>
      <c r="P543" s="329">
        <f t="shared" si="2784"/>
        <v>0</v>
      </c>
      <c r="Q543" s="329">
        <f t="shared" si="2784"/>
        <v>0</v>
      </c>
      <c r="R543" s="329">
        <f t="shared" si="2784"/>
        <v>259.26</v>
      </c>
      <c r="S543" s="329">
        <f t="shared" si="2784"/>
        <v>0</v>
      </c>
      <c r="T543" s="329">
        <f t="shared" si="2784"/>
        <v>0</v>
      </c>
      <c r="U543" s="329">
        <f t="shared" si="2784"/>
        <v>1140.74</v>
      </c>
      <c r="V543" s="329">
        <f t="shared" si="2784"/>
        <v>0</v>
      </c>
      <c r="W543" s="329">
        <f t="shared" si="2784"/>
        <v>0</v>
      </c>
      <c r="X543" s="339">
        <f t="shared" ref="X543:Y543" si="2785">IF(O543&gt;0,O543/K543,0)</f>
        <v>0.18518571428571429</v>
      </c>
      <c r="Y543" s="339">
        <f t="shared" si="2785"/>
        <v>0</v>
      </c>
      <c r="Z543" s="339">
        <f t="shared" si="2708"/>
        <v>0</v>
      </c>
      <c r="AA543" s="329">
        <f t="shared" ref="AA543:BW543" si="2786">AA544+AA550+AA552+AA556</f>
        <v>0</v>
      </c>
      <c r="AB543" s="329">
        <f t="shared" si="2786"/>
        <v>0</v>
      </c>
      <c r="AC543" s="329">
        <f t="shared" si="2786"/>
        <v>0</v>
      </c>
      <c r="AD543" s="329">
        <f t="shared" si="2786"/>
        <v>0</v>
      </c>
      <c r="AE543" s="329">
        <f t="shared" si="2786"/>
        <v>0</v>
      </c>
      <c r="AF543" s="329">
        <f t="shared" si="2786"/>
        <v>0</v>
      </c>
      <c r="AG543" s="329">
        <f t="shared" si="2786"/>
        <v>0</v>
      </c>
      <c r="AH543" s="329">
        <f t="shared" si="2786"/>
        <v>0</v>
      </c>
      <c r="AI543" s="329">
        <f t="shared" si="2786"/>
        <v>0</v>
      </c>
      <c r="AJ543" s="329">
        <f t="shared" si="2786"/>
        <v>129.63</v>
      </c>
      <c r="AK543" s="329">
        <f t="shared" si="2786"/>
        <v>0</v>
      </c>
      <c r="AL543" s="329">
        <f t="shared" si="2786"/>
        <v>0</v>
      </c>
      <c r="AM543" s="329">
        <f t="shared" si="2786"/>
        <v>129.63</v>
      </c>
      <c r="AN543" s="329">
        <f t="shared" si="2786"/>
        <v>0</v>
      </c>
      <c r="AO543" s="329">
        <f t="shared" si="2786"/>
        <v>0</v>
      </c>
      <c r="AP543" s="329">
        <f t="shared" si="2786"/>
        <v>0</v>
      </c>
      <c r="AQ543" s="329">
        <f t="shared" si="2786"/>
        <v>0</v>
      </c>
      <c r="AR543" s="329">
        <f t="shared" si="2786"/>
        <v>0</v>
      </c>
      <c r="AS543" s="329">
        <f t="shared" si="2786"/>
        <v>0</v>
      </c>
      <c r="AT543" s="329">
        <f t="shared" si="2786"/>
        <v>0</v>
      </c>
      <c r="AU543" s="329">
        <f t="shared" si="2786"/>
        <v>0</v>
      </c>
      <c r="AV543" s="329">
        <f t="shared" si="2786"/>
        <v>0</v>
      </c>
      <c r="AW543" s="329">
        <f t="shared" si="2786"/>
        <v>0</v>
      </c>
      <c r="AX543" s="329">
        <f t="shared" si="2786"/>
        <v>0</v>
      </c>
      <c r="AY543" s="329">
        <f t="shared" si="2786"/>
        <v>0</v>
      </c>
      <c r="AZ543" s="329">
        <f t="shared" si="2786"/>
        <v>0</v>
      </c>
      <c r="BA543" s="329">
        <f t="shared" si="2786"/>
        <v>0</v>
      </c>
      <c r="BB543" s="329">
        <f t="shared" si="2786"/>
        <v>0</v>
      </c>
      <c r="BC543" s="329">
        <f t="shared" si="2786"/>
        <v>0</v>
      </c>
      <c r="BD543" s="329">
        <f t="shared" si="2786"/>
        <v>0</v>
      </c>
      <c r="BE543" s="329">
        <f t="shared" si="2786"/>
        <v>0</v>
      </c>
      <c r="BF543" s="329">
        <f t="shared" si="2786"/>
        <v>0</v>
      </c>
      <c r="BG543" s="329">
        <f t="shared" si="2786"/>
        <v>0</v>
      </c>
      <c r="BH543" s="329">
        <f t="shared" si="2786"/>
        <v>0</v>
      </c>
      <c r="BI543" s="329">
        <f t="shared" si="2786"/>
        <v>0</v>
      </c>
      <c r="BJ543" s="329">
        <f t="shared" si="2786"/>
        <v>0</v>
      </c>
      <c r="BK543" s="329">
        <f t="shared" si="2786"/>
        <v>0</v>
      </c>
      <c r="BL543" s="329">
        <f t="shared" si="2786"/>
        <v>0</v>
      </c>
      <c r="BM543" s="329">
        <f t="shared" si="2786"/>
        <v>0</v>
      </c>
      <c r="BN543" s="329">
        <f t="shared" si="2786"/>
        <v>259.26</v>
      </c>
      <c r="BO543" s="329">
        <f t="shared" si="2786"/>
        <v>0</v>
      </c>
      <c r="BP543" s="329">
        <f t="shared" si="2786"/>
        <v>259.26</v>
      </c>
      <c r="BQ543" s="329">
        <f t="shared" si="2786"/>
        <v>1140.74</v>
      </c>
      <c r="BR543" s="329">
        <f t="shared" si="2786"/>
        <v>0</v>
      </c>
      <c r="BS543" s="329">
        <f t="shared" si="2786"/>
        <v>1140.74</v>
      </c>
      <c r="BT543" s="329">
        <f t="shared" si="2786"/>
        <v>0</v>
      </c>
      <c r="BU543" s="329">
        <f t="shared" si="2786"/>
        <v>259.26</v>
      </c>
      <c r="BV543" s="329">
        <f t="shared" si="2786"/>
        <v>1140.74</v>
      </c>
      <c r="BW543" s="329">
        <f t="shared" si="2786"/>
        <v>1400</v>
      </c>
      <c r="BX543" s="6"/>
      <c r="BY543" s="6"/>
      <c r="BZ543" s="6"/>
      <c r="CA543" s="6"/>
      <c r="CB543" s="6"/>
      <c r="CC543" s="6"/>
      <c r="CD543" s="6"/>
      <c r="CE543" s="6"/>
      <c r="CF543" s="6"/>
      <c r="CG543" s="6"/>
    </row>
    <row r="544" spans="1:85" ht="15.75">
      <c r="A544" s="317"/>
      <c r="B544" s="318"/>
      <c r="C544" s="319"/>
      <c r="D544" s="44" t="s">
        <v>67</v>
      </c>
      <c r="E544" s="269">
        <f t="shared" ref="E544:H544" si="2787">SUM(E545:E549)</f>
        <v>10500</v>
      </c>
      <c r="F544" s="269">
        <f t="shared" si="2787"/>
        <v>0</v>
      </c>
      <c r="G544" s="45">
        <f t="shared" si="2787"/>
        <v>10500</v>
      </c>
      <c r="H544" s="269">
        <f t="shared" si="2787"/>
        <v>0</v>
      </c>
      <c r="I544" s="270">
        <f t="shared" si="2704"/>
        <v>0.13333333333333333</v>
      </c>
      <c r="J544" s="270">
        <f t="shared" si="2705"/>
        <v>2.4691428571428569E-2</v>
      </c>
      <c r="K544" s="269">
        <f t="shared" ref="K544:W544" si="2788">SUM(K545:K549)</f>
        <v>1400</v>
      </c>
      <c r="L544" s="269">
        <f t="shared" si="2788"/>
        <v>0</v>
      </c>
      <c r="M544" s="269">
        <f t="shared" si="2788"/>
        <v>0</v>
      </c>
      <c r="N544" s="269">
        <f t="shared" si="2788"/>
        <v>0</v>
      </c>
      <c r="O544" s="269">
        <f t="shared" si="2788"/>
        <v>259.26</v>
      </c>
      <c r="P544" s="269">
        <f t="shared" si="2788"/>
        <v>0</v>
      </c>
      <c r="Q544" s="269">
        <f t="shared" si="2788"/>
        <v>0</v>
      </c>
      <c r="R544" s="269">
        <f t="shared" si="2788"/>
        <v>259.26</v>
      </c>
      <c r="S544" s="269">
        <f t="shared" si="2788"/>
        <v>0</v>
      </c>
      <c r="T544" s="269">
        <f t="shared" si="2788"/>
        <v>0</v>
      </c>
      <c r="U544" s="269">
        <f t="shared" si="2788"/>
        <v>1140.74</v>
      </c>
      <c r="V544" s="269">
        <f t="shared" si="2788"/>
        <v>0</v>
      </c>
      <c r="W544" s="269">
        <f t="shared" si="2788"/>
        <v>0</v>
      </c>
      <c r="X544" s="271">
        <f t="shared" ref="X544:Y544" si="2789">IF(O544&gt;0,O544/K544,0)</f>
        <v>0.18518571428571429</v>
      </c>
      <c r="Y544" s="271">
        <f t="shared" si="2789"/>
        <v>0</v>
      </c>
      <c r="Z544" s="271">
        <f t="shared" si="2708"/>
        <v>0</v>
      </c>
      <c r="AA544" s="269">
        <f t="shared" ref="AA544:BW544" si="2790">SUM(AA545:AA549)</f>
        <v>0</v>
      </c>
      <c r="AB544" s="269">
        <f t="shared" si="2790"/>
        <v>0</v>
      </c>
      <c r="AC544" s="269">
        <f t="shared" si="2790"/>
        <v>0</v>
      </c>
      <c r="AD544" s="269">
        <f t="shared" si="2790"/>
        <v>0</v>
      </c>
      <c r="AE544" s="269">
        <f t="shared" si="2790"/>
        <v>0</v>
      </c>
      <c r="AF544" s="269">
        <f t="shared" si="2790"/>
        <v>0</v>
      </c>
      <c r="AG544" s="269">
        <f t="shared" si="2790"/>
        <v>0</v>
      </c>
      <c r="AH544" s="269">
        <f t="shared" si="2790"/>
        <v>0</v>
      </c>
      <c r="AI544" s="269">
        <f t="shared" si="2790"/>
        <v>0</v>
      </c>
      <c r="AJ544" s="269">
        <f t="shared" si="2790"/>
        <v>129.63</v>
      </c>
      <c r="AK544" s="269">
        <f t="shared" si="2790"/>
        <v>0</v>
      </c>
      <c r="AL544" s="269">
        <f t="shared" si="2790"/>
        <v>0</v>
      </c>
      <c r="AM544" s="269">
        <f t="shared" si="2790"/>
        <v>129.63</v>
      </c>
      <c r="AN544" s="269">
        <f t="shared" si="2790"/>
        <v>0</v>
      </c>
      <c r="AO544" s="269">
        <f t="shared" si="2790"/>
        <v>0</v>
      </c>
      <c r="AP544" s="269">
        <f t="shared" si="2790"/>
        <v>0</v>
      </c>
      <c r="AQ544" s="269">
        <f t="shared" si="2790"/>
        <v>0</v>
      </c>
      <c r="AR544" s="269">
        <f t="shared" si="2790"/>
        <v>0</v>
      </c>
      <c r="AS544" s="269">
        <f t="shared" si="2790"/>
        <v>0</v>
      </c>
      <c r="AT544" s="269">
        <f t="shared" si="2790"/>
        <v>0</v>
      </c>
      <c r="AU544" s="269">
        <f t="shared" si="2790"/>
        <v>0</v>
      </c>
      <c r="AV544" s="269">
        <f t="shared" si="2790"/>
        <v>0</v>
      </c>
      <c r="AW544" s="269">
        <f t="shared" si="2790"/>
        <v>0</v>
      </c>
      <c r="AX544" s="269">
        <f t="shared" si="2790"/>
        <v>0</v>
      </c>
      <c r="AY544" s="269">
        <f t="shared" si="2790"/>
        <v>0</v>
      </c>
      <c r="AZ544" s="269">
        <f t="shared" si="2790"/>
        <v>0</v>
      </c>
      <c r="BA544" s="269">
        <f t="shared" si="2790"/>
        <v>0</v>
      </c>
      <c r="BB544" s="269">
        <f t="shared" si="2790"/>
        <v>0</v>
      </c>
      <c r="BC544" s="269">
        <f t="shared" si="2790"/>
        <v>0</v>
      </c>
      <c r="BD544" s="269">
        <f t="shared" si="2790"/>
        <v>0</v>
      </c>
      <c r="BE544" s="269">
        <f t="shared" si="2790"/>
        <v>0</v>
      </c>
      <c r="BF544" s="269">
        <f t="shared" si="2790"/>
        <v>0</v>
      </c>
      <c r="BG544" s="269">
        <f t="shared" si="2790"/>
        <v>0</v>
      </c>
      <c r="BH544" s="269">
        <f t="shared" si="2790"/>
        <v>0</v>
      </c>
      <c r="BI544" s="269">
        <f t="shared" si="2790"/>
        <v>0</v>
      </c>
      <c r="BJ544" s="269">
        <f t="shared" si="2790"/>
        <v>0</v>
      </c>
      <c r="BK544" s="269">
        <f t="shared" si="2790"/>
        <v>0</v>
      </c>
      <c r="BL544" s="269">
        <f t="shared" si="2790"/>
        <v>0</v>
      </c>
      <c r="BM544" s="269">
        <f t="shared" si="2790"/>
        <v>0</v>
      </c>
      <c r="BN544" s="269">
        <f t="shared" si="2790"/>
        <v>259.26</v>
      </c>
      <c r="BO544" s="269">
        <f t="shared" si="2790"/>
        <v>0</v>
      </c>
      <c r="BP544" s="269">
        <f t="shared" si="2790"/>
        <v>259.26</v>
      </c>
      <c r="BQ544" s="269">
        <f t="shared" si="2790"/>
        <v>1140.74</v>
      </c>
      <c r="BR544" s="269">
        <f t="shared" si="2790"/>
        <v>0</v>
      </c>
      <c r="BS544" s="269">
        <f t="shared" si="2790"/>
        <v>1140.74</v>
      </c>
      <c r="BT544" s="269">
        <f t="shared" si="2790"/>
        <v>0</v>
      </c>
      <c r="BU544" s="269">
        <f t="shared" si="2790"/>
        <v>259.26</v>
      </c>
      <c r="BV544" s="269">
        <f t="shared" si="2790"/>
        <v>1140.74</v>
      </c>
      <c r="BW544" s="269">
        <f t="shared" si="2790"/>
        <v>1400</v>
      </c>
      <c r="BX544" s="6"/>
      <c r="BY544" s="6"/>
      <c r="BZ544" s="6"/>
      <c r="CA544" s="6"/>
      <c r="CB544" s="6"/>
      <c r="CC544" s="6"/>
      <c r="CD544" s="6"/>
      <c r="CE544" s="6"/>
      <c r="CF544" s="6"/>
      <c r="CG544" s="6"/>
    </row>
    <row r="545" spans="1:85" ht="15.75" customHeight="1">
      <c r="A545" s="54"/>
      <c r="B545" s="102"/>
      <c r="C545" s="54" t="s">
        <v>69</v>
      </c>
      <c r="D545" s="55" t="s">
        <v>670</v>
      </c>
      <c r="E545" s="56">
        <v>4000</v>
      </c>
      <c r="F545" s="99">
        <v>0</v>
      </c>
      <c r="G545" s="58">
        <f t="shared" ref="G545:G549" si="2791">E545-F545</f>
        <v>4000</v>
      </c>
      <c r="H545" s="99">
        <v>0</v>
      </c>
      <c r="I545" s="59">
        <f t="shared" si="2704"/>
        <v>0</v>
      </c>
      <c r="J545" s="59">
        <f t="shared" si="2705"/>
        <v>0</v>
      </c>
      <c r="K545" s="74">
        <v>0</v>
      </c>
      <c r="L545" s="74">
        <v>0</v>
      </c>
      <c r="M545" s="74">
        <v>0</v>
      </c>
      <c r="N545" s="74">
        <v>0</v>
      </c>
      <c r="O545" s="61">
        <f t="shared" ref="O545:Q545" si="2792">AA545+AD545+AG545+AJ545+AM545+AP545+AS545+AV545+AY545+BB545+BE545+BH545</f>
        <v>0</v>
      </c>
      <c r="P545" s="61">
        <f t="shared" si="2792"/>
        <v>0</v>
      </c>
      <c r="Q545" s="61">
        <f t="shared" si="2792"/>
        <v>0</v>
      </c>
      <c r="R545" s="61">
        <f t="shared" ref="R545:T545" si="2793">IF(BK545=0,SUM(AA545+AD545+AG545+AJ545+AM545+AP545+AS545+AV545+AY545+BB545+BE545+BH545),BK545)</f>
        <v>0</v>
      </c>
      <c r="S545" s="61">
        <f t="shared" si="2793"/>
        <v>0</v>
      </c>
      <c r="T545" s="61">
        <f t="shared" si="2793"/>
        <v>0</v>
      </c>
      <c r="U545" s="208">
        <f t="shared" ref="U545:U549" si="2794">K545-O545</f>
        <v>0</v>
      </c>
      <c r="V545" s="63">
        <f t="shared" ref="V545:V549" si="2795">L545-M545-S545</f>
        <v>0</v>
      </c>
      <c r="W545" s="63">
        <f t="shared" ref="W545:W549" si="2796">N545-Q545</f>
        <v>0</v>
      </c>
      <c r="X545" s="64">
        <f t="shared" ref="X545:Y545" si="2797">IF(O545&gt;0,O545/K545,0)</f>
        <v>0</v>
      </c>
      <c r="Y545" s="64">
        <f t="shared" si="2797"/>
        <v>0</v>
      </c>
      <c r="Z545" s="64">
        <f t="shared" si="2708"/>
        <v>0</v>
      </c>
      <c r="AA545" s="65"/>
      <c r="AB545" s="65"/>
      <c r="AC545" s="65"/>
      <c r="AD545" s="65"/>
      <c r="AE545" s="66"/>
      <c r="AF545" s="66"/>
      <c r="AG545" s="66"/>
      <c r="AH545" s="66"/>
      <c r="AI545" s="65"/>
      <c r="AJ545" s="65"/>
      <c r="AK545" s="65"/>
      <c r="AL545" s="65"/>
      <c r="AM545" s="65"/>
      <c r="AN545" s="65"/>
      <c r="AO545" s="65"/>
      <c r="AP545" s="65"/>
      <c r="AQ545" s="65"/>
      <c r="AR545" s="65"/>
      <c r="AS545" s="65"/>
      <c r="AT545" s="65"/>
      <c r="AU545" s="65"/>
      <c r="AV545" s="65"/>
      <c r="AW545" s="65"/>
      <c r="AX545" s="65"/>
      <c r="AY545" s="65"/>
      <c r="AZ545" s="65"/>
      <c r="BA545" s="65"/>
      <c r="BB545" s="65"/>
      <c r="BC545" s="65"/>
      <c r="BD545" s="65"/>
      <c r="BE545" s="65"/>
      <c r="BF545" s="65"/>
      <c r="BG545" s="65"/>
      <c r="BH545" s="65"/>
      <c r="BI545" s="65"/>
      <c r="BJ545" s="65"/>
      <c r="BK545" s="65">
        <v>0</v>
      </c>
      <c r="BL545" s="65">
        <v>0</v>
      </c>
      <c r="BM545" s="65">
        <v>0</v>
      </c>
      <c r="BN545" s="65">
        <f t="shared" ref="BN545:BN549" si="2798">IF(O545-BK545&gt;0,O545-BK545,0)</f>
        <v>0</v>
      </c>
      <c r="BO545" s="67">
        <f t="shared" ref="BO545:BO549" si="2799">IF(Q545-BM545&gt;0,Q545-BM545,0)</f>
        <v>0</v>
      </c>
      <c r="BP545" s="65">
        <f t="shared" ref="BP545:BP549" si="2800">IF(BN545+BO545&gt;0,BN545+BO545,0)</f>
        <v>0</v>
      </c>
      <c r="BQ545" s="65">
        <f t="shared" ref="BQ545:BQ549" si="2801">IF(U545=0,0,U545)</f>
        <v>0</v>
      </c>
      <c r="BR545" s="65">
        <f t="shared" ref="BR545:BR549" si="2802">IF(W545=0,0,W545)</f>
        <v>0</v>
      </c>
      <c r="BS545" s="65">
        <f t="shared" ref="BS545:BS549" si="2803">IF(BQ545+BR545&gt;0,BQ545+BR545,0)</f>
        <v>0</v>
      </c>
      <c r="BT545" s="65">
        <f t="shared" ref="BT545:BT549" si="2804">IF(V545&gt;0,V545,0)</f>
        <v>0</v>
      </c>
      <c r="BU545" s="65">
        <f t="shared" ref="BU545:BU549" si="2805">IF(BP545=0,0,BP545)</f>
        <v>0</v>
      </c>
      <c r="BV545" s="65">
        <f t="shared" ref="BV545:BV549" si="2806">IF(BS545=0,0,BS545)</f>
        <v>0</v>
      </c>
      <c r="BW545" s="65">
        <f t="shared" ref="BW545:BW549" si="2807">IF(BP545+BT545+BV545&gt;0,BP545+BT545+BV545,0)</f>
        <v>0</v>
      </c>
      <c r="BX545" s="6"/>
      <c r="BY545" s="6"/>
      <c r="BZ545" s="6"/>
      <c r="CA545" s="6"/>
      <c r="CB545" s="6"/>
      <c r="CC545" s="6"/>
      <c r="CD545" s="6"/>
      <c r="CE545" s="6"/>
      <c r="CF545" s="6"/>
      <c r="CG545" s="6"/>
    </row>
    <row r="546" spans="1:85" ht="15.75" customHeight="1">
      <c r="A546" s="68"/>
      <c r="B546" s="103"/>
      <c r="C546" s="68" t="s">
        <v>69</v>
      </c>
      <c r="D546" s="70" t="s">
        <v>671</v>
      </c>
      <c r="E546" s="310">
        <v>0</v>
      </c>
      <c r="F546" s="99">
        <v>0</v>
      </c>
      <c r="G546" s="58">
        <f t="shared" si="2791"/>
        <v>0</v>
      </c>
      <c r="H546" s="99">
        <v>0</v>
      </c>
      <c r="I546" s="59">
        <f t="shared" si="2704"/>
        <v>0</v>
      </c>
      <c r="J546" s="59">
        <f t="shared" si="2705"/>
        <v>0</v>
      </c>
      <c r="K546" s="74">
        <v>0</v>
      </c>
      <c r="L546" s="74">
        <v>0</v>
      </c>
      <c r="M546" s="74">
        <v>0</v>
      </c>
      <c r="N546" s="74">
        <v>0</v>
      </c>
      <c r="O546" s="61">
        <f t="shared" ref="O546:Q546" si="2808">AA546+AD546+AG546+AJ546+AM546+AP546+AS546+AV546+AY546+BB546+BE546+BH546</f>
        <v>0</v>
      </c>
      <c r="P546" s="61">
        <f t="shared" si="2808"/>
        <v>0</v>
      </c>
      <c r="Q546" s="61">
        <f t="shared" si="2808"/>
        <v>0</v>
      </c>
      <c r="R546" s="61">
        <f t="shared" ref="R546:T546" si="2809">IF(BK546=0,SUM(AA546+AD546+AG546+AJ546+AM546+AP546+AS546+AV546+AY546+BB546+BE546+BH546),BK546)</f>
        <v>0</v>
      </c>
      <c r="S546" s="61">
        <f t="shared" si="2809"/>
        <v>0</v>
      </c>
      <c r="T546" s="61">
        <f t="shared" si="2809"/>
        <v>0</v>
      </c>
      <c r="U546" s="63">
        <f t="shared" si="2794"/>
        <v>0</v>
      </c>
      <c r="V546" s="63">
        <f t="shared" si="2795"/>
        <v>0</v>
      </c>
      <c r="W546" s="63">
        <f t="shared" si="2796"/>
        <v>0</v>
      </c>
      <c r="X546" s="64">
        <f t="shared" ref="X546:Y546" si="2810">IF(O546&gt;0,O546/K546,0)</f>
        <v>0</v>
      </c>
      <c r="Y546" s="64">
        <f t="shared" si="2810"/>
        <v>0</v>
      </c>
      <c r="Z546" s="64">
        <f t="shared" si="2708"/>
        <v>0</v>
      </c>
      <c r="AA546" s="65"/>
      <c r="AB546" s="65"/>
      <c r="AC546" s="65"/>
      <c r="AD546" s="65"/>
      <c r="AE546" s="66"/>
      <c r="AF546" s="66"/>
      <c r="AG546" s="66"/>
      <c r="AH546" s="66"/>
      <c r="AI546" s="65"/>
      <c r="AJ546" s="65"/>
      <c r="AK546" s="65"/>
      <c r="AL546" s="65"/>
      <c r="AM546" s="65"/>
      <c r="AN546" s="65"/>
      <c r="AO546" s="65"/>
      <c r="AP546" s="65"/>
      <c r="AQ546" s="65"/>
      <c r="AR546" s="65"/>
      <c r="AS546" s="65"/>
      <c r="AT546" s="65"/>
      <c r="AU546" s="65"/>
      <c r="AV546" s="65"/>
      <c r="AW546" s="65"/>
      <c r="AX546" s="65"/>
      <c r="AY546" s="65"/>
      <c r="AZ546" s="65"/>
      <c r="BA546" s="65"/>
      <c r="BB546" s="65"/>
      <c r="BC546" s="65"/>
      <c r="BD546" s="65"/>
      <c r="BE546" s="65"/>
      <c r="BF546" s="65"/>
      <c r="BG546" s="65"/>
      <c r="BH546" s="65"/>
      <c r="BI546" s="65"/>
      <c r="BJ546" s="65"/>
      <c r="BK546" s="65">
        <v>0</v>
      </c>
      <c r="BL546" s="65">
        <v>0</v>
      </c>
      <c r="BM546" s="65">
        <v>0</v>
      </c>
      <c r="BN546" s="65">
        <f t="shared" si="2798"/>
        <v>0</v>
      </c>
      <c r="BO546" s="67">
        <f t="shared" si="2799"/>
        <v>0</v>
      </c>
      <c r="BP546" s="65">
        <f t="shared" si="2800"/>
        <v>0</v>
      </c>
      <c r="BQ546" s="65">
        <f t="shared" si="2801"/>
        <v>0</v>
      </c>
      <c r="BR546" s="65">
        <f t="shared" si="2802"/>
        <v>0</v>
      </c>
      <c r="BS546" s="65">
        <f t="shared" si="2803"/>
        <v>0</v>
      </c>
      <c r="BT546" s="65">
        <f t="shared" si="2804"/>
        <v>0</v>
      </c>
      <c r="BU546" s="65">
        <f t="shared" si="2805"/>
        <v>0</v>
      </c>
      <c r="BV546" s="65">
        <f t="shared" si="2806"/>
        <v>0</v>
      </c>
      <c r="BW546" s="65">
        <f t="shared" si="2807"/>
        <v>0</v>
      </c>
      <c r="BX546" s="6"/>
      <c r="BY546" s="6"/>
      <c r="BZ546" s="6"/>
      <c r="CA546" s="6"/>
      <c r="CB546" s="6"/>
      <c r="CC546" s="6"/>
      <c r="CD546" s="6"/>
      <c r="CE546" s="6"/>
      <c r="CF546" s="6"/>
      <c r="CG546" s="6"/>
    </row>
    <row r="547" spans="1:85" ht="15.75" customHeight="1">
      <c r="A547" s="52" t="s">
        <v>672</v>
      </c>
      <c r="B547" s="103"/>
      <c r="C547" s="68" t="s">
        <v>69</v>
      </c>
      <c r="D547" s="70" t="s">
        <v>673</v>
      </c>
      <c r="E547" s="56">
        <v>5000</v>
      </c>
      <c r="F547" s="99">
        <v>0</v>
      </c>
      <c r="G547" s="58">
        <f t="shared" si="2791"/>
        <v>5000</v>
      </c>
      <c r="H547" s="99">
        <v>0</v>
      </c>
      <c r="I547" s="59">
        <f t="shared" si="2704"/>
        <v>0.28000000000000003</v>
      </c>
      <c r="J547" s="59">
        <f t="shared" si="2705"/>
        <v>5.1851999999999995E-2</v>
      </c>
      <c r="K547" s="74">
        <v>1400</v>
      </c>
      <c r="L547" s="74">
        <v>0</v>
      </c>
      <c r="M547" s="74">
        <v>0</v>
      </c>
      <c r="N547" s="74">
        <v>0</v>
      </c>
      <c r="O547" s="63">
        <f t="shared" ref="O547:Q547" si="2811">AA547+AD547+AG547+AJ547+AM547+AP547+AS547+AV547+AY547+BB547+BE547+BH547</f>
        <v>259.26</v>
      </c>
      <c r="P547" s="61">
        <f t="shared" si="2811"/>
        <v>0</v>
      </c>
      <c r="Q547" s="61">
        <f t="shared" si="2811"/>
        <v>0</v>
      </c>
      <c r="R547" s="61">
        <f t="shared" ref="R547:T547" si="2812">IF(BK547=0,SUM(AA547+AD547+AG547+AJ547+AM547+AP547+AS547+AV547+AY547+BB547+BE547+BH547),BK547)</f>
        <v>259.26</v>
      </c>
      <c r="S547" s="61">
        <f t="shared" si="2812"/>
        <v>0</v>
      </c>
      <c r="T547" s="61">
        <f t="shared" si="2812"/>
        <v>0</v>
      </c>
      <c r="U547" s="62">
        <f t="shared" si="2794"/>
        <v>1140.74</v>
      </c>
      <c r="V547" s="63">
        <f t="shared" si="2795"/>
        <v>0</v>
      </c>
      <c r="W547" s="63">
        <f t="shared" si="2796"/>
        <v>0</v>
      </c>
      <c r="X547" s="64">
        <f t="shared" ref="X547:Y547" si="2813">IF(O547&gt;0,O547/K547,0)</f>
        <v>0.18518571428571429</v>
      </c>
      <c r="Y547" s="64">
        <f t="shared" si="2813"/>
        <v>0</v>
      </c>
      <c r="Z547" s="64">
        <f t="shared" si="2708"/>
        <v>0</v>
      </c>
      <c r="AA547" s="65"/>
      <c r="AB547" s="65"/>
      <c r="AC547" s="65"/>
      <c r="AD547" s="65"/>
      <c r="AE547" s="66"/>
      <c r="AF547" s="66"/>
      <c r="AG547" s="66"/>
      <c r="AH547" s="66"/>
      <c r="AI547" s="65"/>
      <c r="AJ547" s="65">
        <f>129.63</f>
        <v>129.63</v>
      </c>
      <c r="AK547" s="65"/>
      <c r="AL547" s="65"/>
      <c r="AM547" s="65">
        <f>129.63</f>
        <v>129.63</v>
      </c>
      <c r="AN547" s="65"/>
      <c r="AO547" s="65"/>
      <c r="AP547" s="65"/>
      <c r="AQ547" s="65"/>
      <c r="AR547" s="65"/>
      <c r="AS547" s="65"/>
      <c r="AT547" s="65"/>
      <c r="AU547" s="65"/>
      <c r="AV547" s="65"/>
      <c r="AW547" s="65"/>
      <c r="AX547" s="65"/>
      <c r="AY547" s="65"/>
      <c r="AZ547" s="65"/>
      <c r="BA547" s="65"/>
      <c r="BB547" s="65"/>
      <c r="BC547" s="65"/>
      <c r="BD547" s="65"/>
      <c r="BE547" s="65"/>
      <c r="BF547" s="65"/>
      <c r="BG547" s="65"/>
      <c r="BH547" s="65"/>
      <c r="BI547" s="65"/>
      <c r="BJ547" s="65"/>
      <c r="BK547" s="65">
        <v>0</v>
      </c>
      <c r="BL547" s="65">
        <v>0</v>
      </c>
      <c r="BM547" s="65">
        <v>0</v>
      </c>
      <c r="BN547" s="65">
        <f t="shared" si="2798"/>
        <v>259.26</v>
      </c>
      <c r="BO547" s="67">
        <f t="shared" si="2799"/>
        <v>0</v>
      </c>
      <c r="BP547" s="65">
        <f t="shared" si="2800"/>
        <v>259.26</v>
      </c>
      <c r="BQ547" s="65">
        <f t="shared" si="2801"/>
        <v>1140.74</v>
      </c>
      <c r="BR547" s="65">
        <f t="shared" si="2802"/>
        <v>0</v>
      </c>
      <c r="BS547" s="65">
        <f t="shared" si="2803"/>
        <v>1140.74</v>
      </c>
      <c r="BT547" s="65">
        <f t="shared" si="2804"/>
        <v>0</v>
      </c>
      <c r="BU547" s="65">
        <f t="shared" si="2805"/>
        <v>259.26</v>
      </c>
      <c r="BV547" s="65">
        <f t="shared" si="2806"/>
        <v>1140.74</v>
      </c>
      <c r="BW547" s="65">
        <f t="shared" si="2807"/>
        <v>1400</v>
      </c>
      <c r="BX547" s="6"/>
      <c r="BY547" s="6"/>
      <c r="BZ547" s="6"/>
      <c r="CA547" s="6"/>
      <c r="CB547" s="6"/>
      <c r="CC547" s="6"/>
      <c r="CD547" s="6"/>
      <c r="CE547" s="6"/>
      <c r="CF547" s="6"/>
      <c r="CG547" s="6"/>
    </row>
    <row r="548" spans="1:85" ht="15.75" customHeight="1">
      <c r="A548" s="68"/>
      <c r="B548" s="103"/>
      <c r="C548" s="68" t="s">
        <v>169</v>
      </c>
      <c r="D548" s="190" t="s">
        <v>674</v>
      </c>
      <c r="E548" s="310">
        <v>0</v>
      </c>
      <c r="F548" s="99">
        <v>0</v>
      </c>
      <c r="G548" s="58">
        <f t="shared" si="2791"/>
        <v>0</v>
      </c>
      <c r="H548" s="99">
        <v>0</v>
      </c>
      <c r="I548" s="59">
        <f t="shared" si="2704"/>
        <v>0</v>
      </c>
      <c r="J548" s="59">
        <f t="shared" si="2705"/>
        <v>0</v>
      </c>
      <c r="K548" s="74">
        <v>0</v>
      </c>
      <c r="L548" s="74">
        <v>0</v>
      </c>
      <c r="M548" s="74">
        <v>0</v>
      </c>
      <c r="N548" s="74">
        <v>0</v>
      </c>
      <c r="O548" s="61">
        <f t="shared" ref="O548:Q548" si="2814">AA548+AD548+AG548+AJ548+AM548+AP548+AS548+AV548+AY548+BB548+BE548+BH548</f>
        <v>0</v>
      </c>
      <c r="P548" s="61">
        <f t="shared" si="2814"/>
        <v>0</v>
      </c>
      <c r="Q548" s="61">
        <f t="shared" si="2814"/>
        <v>0</v>
      </c>
      <c r="R548" s="61">
        <f t="shared" ref="R548:T548" si="2815">IF(BK548=0,SUM(AA548+AD548+AG548+AJ548+AM548+AP548+AS548+AV548+AY548+BB548+BE548+BH548),BK548)</f>
        <v>0</v>
      </c>
      <c r="S548" s="61">
        <f t="shared" si="2815"/>
        <v>0</v>
      </c>
      <c r="T548" s="61">
        <f t="shared" si="2815"/>
        <v>0</v>
      </c>
      <c r="U548" s="63">
        <f t="shared" si="2794"/>
        <v>0</v>
      </c>
      <c r="V548" s="63">
        <f t="shared" si="2795"/>
        <v>0</v>
      </c>
      <c r="W548" s="63">
        <f t="shared" si="2796"/>
        <v>0</v>
      </c>
      <c r="X548" s="64">
        <f t="shared" ref="X548:Y548" si="2816">IF(O548&gt;0,O548/K548,0)</f>
        <v>0</v>
      </c>
      <c r="Y548" s="64">
        <f t="shared" si="2816"/>
        <v>0</v>
      </c>
      <c r="Z548" s="64">
        <f t="shared" si="2708"/>
        <v>0</v>
      </c>
      <c r="AA548" s="65"/>
      <c r="AB548" s="65"/>
      <c r="AC548" s="65"/>
      <c r="AD548" s="65"/>
      <c r="AE548" s="66"/>
      <c r="AF548" s="66"/>
      <c r="AG548" s="66"/>
      <c r="AH548" s="66"/>
      <c r="AI548" s="65"/>
      <c r="AJ548" s="65"/>
      <c r="AK548" s="65"/>
      <c r="AL548" s="65"/>
      <c r="AM548" s="65"/>
      <c r="AN548" s="65"/>
      <c r="AO548" s="65"/>
      <c r="AP548" s="65"/>
      <c r="AQ548" s="65"/>
      <c r="AR548" s="65"/>
      <c r="AS548" s="65"/>
      <c r="AT548" s="65"/>
      <c r="AU548" s="65"/>
      <c r="AV548" s="65"/>
      <c r="AW548" s="65"/>
      <c r="AX548" s="65"/>
      <c r="AY548" s="65"/>
      <c r="AZ548" s="65"/>
      <c r="BA548" s="65"/>
      <c r="BB548" s="65"/>
      <c r="BC548" s="65"/>
      <c r="BD548" s="65"/>
      <c r="BE548" s="65"/>
      <c r="BF548" s="65"/>
      <c r="BG548" s="65"/>
      <c r="BH548" s="65"/>
      <c r="BI548" s="65"/>
      <c r="BJ548" s="65"/>
      <c r="BK548" s="65">
        <v>0</v>
      </c>
      <c r="BL548" s="65">
        <v>0</v>
      </c>
      <c r="BM548" s="65">
        <v>0</v>
      </c>
      <c r="BN548" s="65">
        <f t="shared" si="2798"/>
        <v>0</v>
      </c>
      <c r="BO548" s="67">
        <f t="shared" si="2799"/>
        <v>0</v>
      </c>
      <c r="BP548" s="65">
        <f t="shared" si="2800"/>
        <v>0</v>
      </c>
      <c r="BQ548" s="65">
        <f t="shared" si="2801"/>
        <v>0</v>
      </c>
      <c r="BR548" s="65">
        <f t="shared" si="2802"/>
        <v>0</v>
      </c>
      <c r="BS548" s="65">
        <f t="shared" si="2803"/>
        <v>0</v>
      </c>
      <c r="BT548" s="65">
        <f t="shared" si="2804"/>
        <v>0</v>
      </c>
      <c r="BU548" s="65">
        <f t="shared" si="2805"/>
        <v>0</v>
      </c>
      <c r="BV548" s="65">
        <f t="shared" si="2806"/>
        <v>0</v>
      </c>
      <c r="BW548" s="65">
        <f t="shared" si="2807"/>
        <v>0</v>
      </c>
      <c r="BX548" s="6"/>
      <c r="BY548" s="6"/>
      <c r="BZ548" s="6"/>
      <c r="CA548" s="6"/>
      <c r="CB548" s="6"/>
      <c r="CC548" s="6"/>
      <c r="CD548" s="6"/>
      <c r="CE548" s="6"/>
      <c r="CF548" s="6"/>
      <c r="CG548" s="6"/>
    </row>
    <row r="549" spans="1:85" ht="15.75" customHeight="1">
      <c r="A549" s="68"/>
      <c r="B549" s="103"/>
      <c r="C549" s="68" t="s">
        <v>73</v>
      </c>
      <c r="D549" s="70" t="s">
        <v>675</v>
      </c>
      <c r="E549" s="56">
        <v>1500</v>
      </c>
      <c r="F549" s="99">
        <v>0</v>
      </c>
      <c r="G549" s="58">
        <f t="shared" si="2791"/>
        <v>1500</v>
      </c>
      <c r="H549" s="99">
        <v>0</v>
      </c>
      <c r="I549" s="59">
        <f t="shared" si="2704"/>
        <v>0</v>
      </c>
      <c r="J549" s="59">
        <f t="shared" si="2705"/>
        <v>0</v>
      </c>
      <c r="K549" s="74">
        <v>0</v>
      </c>
      <c r="L549" s="74">
        <v>0</v>
      </c>
      <c r="M549" s="74">
        <v>0</v>
      </c>
      <c r="N549" s="74">
        <v>0</v>
      </c>
      <c r="O549" s="61">
        <f t="shared" ref="O549:Q549" si="2817">AA549+AD549+AG549+AJ549+AM549+AP549+AS549+AV549+AY549+BB549+BE549+BH549</f>
        <v>0</v>
      </c>
      <c r="P549" s="61">
        <f t="shared" si="2817"/>
        <v>0</v>
      </c>
      <c r="Q549" s="61">
        <f t="shared" si="2817"/>
        <v>0</v>
      </c>
      <c r="R549" s="61">
        <f t="shared" ref="R549:T549" si="2818">IF(BK549=0,SUM(AA549+AD549+AG549+AJ549+AM549+AP549+AS549+AV549+AY549+BB549+BE549+BH549),BK549)</f>
        <v>0</v>
      </c>
      <c r="S549" s="61">
        <f t="shared" si="2818"/>
        <v>0</v>
      </c>
      <c r="T549" s="61">
        <f t="shared" si="2818"/>
        <v>0</v>
      </c>
      <c r="U549" s="63">
        <f t="shared" si="2794"/>
        <v>0</v>
      </c>
      <c r="V549" s="63">
        <f t="shared" si="2795"/>
        <v>0</v>
      </c>
      <c r="W549" s="63">
        <f t="shared" si="2796"/>
        <v>0</v>
      </c>
      <c r="X549" s="64">
        <f t="shared" ref="X549:Y549" si="2819">IF(O549&gt;0,O549/K549,0)</f>
        <v>0</v>
      </c>
      <c r="Y549" s="64">
        <f t="shared" si="2819"/>
        <v>0</v>
      </c>
      <c r="Z549" s="64">
        <f t="shared" si="2708"/>
        <v>0</v>
      </c>
      <c r="AA549" s="65"/>
      <c r="AB549" s="65"/>
      <c r="AC549" s="65"/>
      <c r="AD549" s="65"/>
      <c r="AE549" s="66"/>
      <c r="AF549" s="66"/>
      <c r="AG549" s="66"/>
      <c r="AH549" s="66"/>
      <c r="AI549" s="65"/>
      <c r="AJ549" s="65"/>
      <c r="AK549" s="65"/>
      <c r="AL549" s="65"/>
      <c r="AM549" s="65"/>
      <c r="AN549" s="65"/>
      <c r="AO549" s="65"/>
      <c r="AP549" s="65"/>
      <c r="AQ549" s="65"/>
      <c r="AR549" s="65"/>
      <c r="AS549" s="65"/>
      <c r="AT549" s="65"/>
      <c r="AU549" s="65"/>
      <c r="AV549" s="65"/>
      <c r="AW549" s="65"/>
      <c r="AX549" s="65"/>
      <c r="AY549" s="65"/>
      <c r="AZ549" s="65"/>
      <c r="BA549" s="65"/>
      <c r="BB549" s="65"/>
      <c r="BC549" s="65"/>
      <c r="BD549" s="65"/>
      <c r="BE549" s="65"/>
      <c r="BF549" s="65"/>
      <c r="BG549" s="65"/>
      <c r="BH549" s="65"/>
      <c r="BI549" s="65"/>
      <c r="BJ549" s="65"/>
      <c r="BK549" s="65">
        <v>0</v>
      </c>
      <c r="BL549" s="65">
        <v>0</v>
      </c>
      <c r="BM549" s="65">
        <v>0</v>
      </c>
      <c r="BN549" s="65">
        <f t="shared" si="2798"/>
        <v>0</v>
      </c>
      <c r="BO549" s="67">
        <f t="shared" si="2799"/>
        <v>0</v>
      </c>
      <c r="BP549" s="65">
        <f t="shared" si="2800"/>
        <v>0</v>
      </c>
      <c r="BQ549" s="65">
        <f t="shared" si="2801"/>
        <v>0</v>
      </c>
      <c r="BR549" s="65">
        <f t="shared" si="2802"/>
        <v>0</v>
      </c>
      <c r="BS549" s="65">
        <f t="shared" si="2803"/>
        <v>0</v>
      </c>
      <c r="BT549" s="65">
        <f t="shared" si="2804"/>
        <v>0</v>
      </c>
      <c r="BU549" s="65">
        <f t="shared" si="2805"/>
        <v>0</v>
      </c>
      <c r="BV549" s="65">
        <f t="shared" si="2806"/>
        <v>0</v>
      </c>
      <c r="BW549" s="65">
        <f t="shared" si="2807"/>
        <v>0</v>
      </c>
      <c r="BX549" s="6"/>
      <c r="BY549" s="6"/>
      <c r="BZ549" s="6"/>
      <c r="CA549" s="6"/>
      <c r="CB549" s="6"/>
      <c r="CC549" s="6"/>
      <c r="CD549" s="6"/>
      <c r="CE549" s="6"/>
      <c r="CF549" s="6"/>
      <c r="CG549" s="6"/>
    </row>
    <row r="550" spans="1:85" ht="15.75" customHeight="1">
      <c r="A550" s="260"/>
      <c r="B550" s="261"/>
      <c r="C550" s="262"/>
      <c r="D550" s="78" t="s">
        <v>467</v>
      </c>
      <c r="E550" s="45">
        <f t="shared" ref="E550:H550" si="2820">E551</f>
        <v>40000</v>
      </c>
      <c r="F550" s="46">
        <f t="shared" si="2820"/>
        <v>0</v>
      </c>
      <c r="G550" s="46">
        <f t="shared" si="2820"/>
        <v>40000</v>
      </c>
      <c r="H550" s="46">
        <f t="shared" si="2820"/>
        <v>0</v>
      </c>
      <c r="I550" s="47">
        <f t="shared" si="2704"/>
        <v>0</v>
      </c>
      <c r="J550" s="47">
        <f t="shared" si="2705"/>
        <v>0</v>
      </c>
      <c r="K550" s="46">
        <f t="shared" ref="K550:W550" si="2821">K551</f>
        <v>0</v>
      </c>
      <c r="L550" s="46">
        <f t="shared" si="2821"/>
        <v>0</v>
      </c>
      <c r="M550" s="46">
        <f t="shared" si="2821"/>
        <v>0</v>
      </c>
      <c r="N550" s="46">
        <f t="shared" si="2821"/>
        <v>0</v>
      </c>
      <c r="O550" s="46">
        <f t="shared" si="2821"/>
        <v>0</v>
      </c>
      <c r="P550" s="46">
        <f t="shared" si="2821"/>
        <v>0</v>
      </c>
      <c r="Q550" s="46">
        <f t="shared" si="2821"/>
        <v>0</v>
      </c>
      <c r="R550" s="46">
        <f t="shared" si="2821"/>
        <v>0</v>
      </c>
      <c r="S550" s="46">
        <f t="shared" si="2821"/>
        <v>0</v>
      </c>
      <c r="T550" s="46">
        <f t="shared" si="2821"/>
        <v>0</v>
      </c>
      <c r="U550" s="46">
        <f t="shared" si="2821"/>
        <v>0</v>
      </c>
      <c r="V550" s="46">
        <f t="shared" si="2821"/>
        <v>0</v>
      </c>
      <c r="W550" s="46">
        <f t="shared" si="2821"/>
        <v>0</v>
      </c>
      <c r="X550" s="50">
        <f t="shared" ref="X550:Y550" si="2822">IF(O550&gt;0,O550/K550,0)</f>
        <v>0</v>
      </c>
      <c r="Y550" s="50">
        <f t="shared" si="2822"/>
        <v>0</v>
      </c>
      <c r="Z550" s="50">
        <f t="shared" si="2708"/>
        <v>0</v>
      </c>
      <c r="AA550" s="46">
        <f t="shared" ref="AA550:BW550" si="2823">AA551</f>
        <v>0</v>
      </c>
      <c r="AB550" s="46">
        <f t="shared" si="2823"/>
        <v>0</v>
      </c>
      <c r="AC550" s="46">
        <f t="shared" si="2823"/>
        <v>0</v>
      </c>
      <c r="AD550" s="46">
        <f t="shared" si="2823"/>
        <v>0</v>
      </c>
      <c r="AE550" s="46">
        <f t="shared" si="2823"/>
        <v>0</v>
      </c>
      <c r="AF550" s="46">
        <f t="shared" si="2823"/>
        <v>0</v>
      </c>
      <c r="AG550" s="46">
        <f t="shared" si="2823"/>
        <v>0</v>
      </c>
      <c r="AH550" s="46">
        <f t="shared" si="2823"/>
        <v>0</v>
      </c>
      <c r="AI550" s="46">
        <f t="shared" si="2823"/>
        <v>0</v>
      </c>
      <c r="AJ550" s="46">
        <f t="shared" si="2823"/>
        <v>0</v>
      </c>
      <c r="AK550" s="46">
        <f t="shared" si="2823"/>
        <v>0</v>
      </c>
      <c r="AL550" s="46">
        <f t="shared" si="2823"/>
        <v>0</v>
      </c>
      <c r="AM550" s="46">
        <f t="shared" si="2823"/>
        <v>0</v>
      </c>
      <c r="AN550" s="46">
        <f t="shared" si="2823"/>
        <v>0</v>
      </c>
      <c r="AO550" s="46">
        <f t="shared" si="2823"/>
        <v>0</v>
      </c>
      <c r="AP550" s="46">
        <f t="shared" si="2823"/>
        <v>0</v>
      </c>
      <c r="AQ550" s="46">
        <f t="shared" si="2823"/>
        <v>0</v>
      </c>
      <c r="AR550" s="46">
        <f t="shared" si="2823"/>
        <v>0</v>
      </c>
      <c r="AS550" s="46">
        <f t="shared" si="2823"/>
        <v>0</v>
      </c>
      <c r="AT550" s="46">
        <f t="shared" si="2823"/>
        <v>0</v>
      </c>
      <c r="AU550" s="46">
        <f t="shared" si="2823"/>
        <v>0</v>
      </c>
      <c r="AV550" s="46">
        <f t="shared" si="2823"/>
        <v>0</v>
      </c>
      <c r="AW550" s="46">
        <f t="shared" si="2823"/>
        <v>0</v>
      </c>
      <c r="AX550" s="46">
        <f t="shared" si="2823"/>
        <v>0</v>
      </c>
      <c r="AY550" s="46">
        <f t="shared" si="2823"/>
        <v>0</v>
      </c>
      <c r="AZ550" s="46">
        <f t="shared" si="2823"/>
        <v>0</v>
      </c>
      <c r="BA550" s="46">
        <f t="shared" si="2823"/>
        <v>0</v>
      </c>
      <c r="BB550" s="46">
        <f t="shared" si="2823"/>
        <v>0</v>
      </c>
      <c r="BC550" s="46">
        <f t="shared" si="2823"/>
        <v>0</v>
      </c>
      <c r="BD550" s="46">
        <f t="shared" si="2823"/>
        <v>0</v>
      </c>
      <c r="BE550" s="46">
        <f t="shared" si="2823"/>
        <v>0</v>
      </c>
      <c r="BF550" s="46">
        <f t="shared" si="2823"/>
        <v>0</v>
      </c>
      <c r="BG550" s="46">
        <f t="shared" si="2823"/>
        <v>0</v>
      </c>
      <c r="BH550" s="46">
        <f t="shared" si="2823"/>
        <v>0</v>
      </c>
      <c r="BI550" s="46">
        <f t="shared" si="2823"/>
        <v>0</v>
      </c>
      <c r="BJ550" s="46">
        <f t="shared" si="2823"/>
        <v>0</v>
      </c>
      <c r="BK550" s="46">
        <f t="shared" si="2823"/>
        <v>0</v>
      </c>
      <c r="BL550" s="46">
        <f t="shared" si="2823"/>
        <v>0</v>
      </c>
      <c r="BM550" s="46">
        <f t="shared" si="2823"/>
        <v>0</v>
      </c>
      <c r="BN550" s="46">
        <f t="shared" si="2823"/>
        <v>0</v>
      </c>
      <c r="BO550" s="46">
        <f t="shared" si="2823"/>
        <v>0</v>
      </c>
      <c r="BP550" s="46">
        <f t="shared" si="2823"/>
        <v>0</v>
      </c>
      <c r="BQ550" s="46">
        <f t="shared" si="2823"/>
        <v>0</v>
      </c>
      <c r="BR550" s="46">
        <f t="shared" si="2823"/>
        <v>0</v>
      </c>
      <c r="BS550" s="46">
        <f t="shared" si="2823"/>
        <v>0</v>
      </c>
      <c r="BT550" s="46">
        <f t="shared" si="2823"/>
        <v>0</v>
      </c>
      <c r="BU550" s="46">
        <f t="shared" si="2823"/>
        <v>0</v>
      </c>
      <c r="BV550" s="46">
        <f t="shared" si="2823"/>
        <v>0</v>
      </c>
      <c r="BW550" s="46">
        <f t="shared" si="2823"/>
        <v>0</v>
      </c>
      <c r="BX550" s="6"/>
      <c r="BY550" s="6"/>
      <c r="BZ550" s="6"/>
      <c r="CA550" s="6"/>
      <c r="CB550" s="6"/>
      <c r="CC550" s="6"/>
      <c r="CD550" s="6"/>
      <c r="CE550" s="6"/>
      <c r="CF550" s="6"/>
      <c r="CG550" s="6"/>
    </row>
    <row r="551" spans="1:85" ht="15.75" customHeight="1">
      <c r="A551" s="68"/>
      <c r="B551" s="103"/>
      <c r="C551" s="68" t="s">
        <v>335</v>
      </c>
      <c r="D551" s="70" t="s">
        <v>676</v>
      </c>
      <c r="E551" s="56">
        <v>40000</v>
      </c>
      <c r="F551" s="99">
        <v>0</v>
      </c>
      <c r="G551" s="58">
        <f>E551-F551</f>
        <v>40000</v>
      </c>
      <c r="H551" s="99">
        <v>0</v>
      </c>
      <c r="I551" s="59">
        <f t="shared" si="2704"/>
        <v>0</v>
      </c>
      <c r="J551" s="59">
        <f t="shared" si="2705"/>
        <v>0</v>
      </c>
      <c r="K551" s="74">
        <v>0</v>
      </c>
      <c r="L551" s="74">
        <v>0</v>
      </c>
      <c r="M551" s="74">
        <v>0</v>
      </c>
      <c r="N551" s="74">
        <v>0</v>
      </c>
      <c r="O551" s="61">
        <f t="shared" ref="O551:Q551" si="2824">AA551+AD551+AG551+AJ551+AM551+AP551+AS551+AV551+AY551+BB551+BE551+BH551</f>
        <v>0</v>
      </c>
      <c r="P551" s="61">
        <f t="shared" si="2824"/>
        <v>0</v>
      </c>
      <c r="Q551" s="61">
        <f t="shared" si="2824"/>
        <v>0</v>
      </c>
      <c r="R551" s="61">
        <f t="shared" ref="R551:T551" si="2825">IF(BK551=0,SUM(AA551+AD551+AG551+AJ551+AM551+AP551+AS551+AV551+AY551+BB551+BE551+BH551),BK551)</f>
        <v>0</v>
      </c>
      <c r="S551" s="61">
        <f t="shared" si="2825"/>
        <v>0</v>
      </c>
      <c r="T551" s="61">
        <f t="shared" si="2825"/>
        <v>0</v>
      </c>
      <c r="U551" s="63">
        <f>K551-O551</f>
        <v>0</v>
      </c>
      <c r="V551" s="63">
        <f>L551-M551-S551</f>
        <v>0</v>
      </c>
      <c r="W551" s="63">
        <f>N551-Q551</f>
        <v>0</v>
      </c>
      <c r="X551" s="64">
        <f t="shared" ref="X551:Y551" si="2826">IF(O551&gt;0,O551/K551,0)</f>
        <v>0</v>
      </c>
      <c r="Y551" s="64">
        <f t="shared" si="2826"/>
        <v>0</v>
      </c>
      <c r="Z551" s="64">
        <f t="shared" si="2708"/>
        <v>0</v>
      </c>
      <c r="AA551" s="65"/>
      <c r="AB551" s="65"/>
      <c r="AC551" s="65"/>
      <c r="AD551" s="65"/>
      <c r="AE551" s="66"/>
      <c r="AF551" s="66"/>
      <c r="AG551" s="66"/>
      <c r="AH551" s="66"/>
      <c r="AI551" s="65"/>
      <c r="AJ551" s="65"/>
      <c r="AK551" s="65"/>
      <c r="AL551" s="65"/>
      <c r="AM551" s="65"/>
      <c r="AN551" s="65"/>
      <c r="AO551" s="65"/>
      <c r="AP551" s="65"/>
      <c r="AQ551" s="65"/>
      <c r="AR551" s="65"/>
      <c r="AS551" s="65"/>
      <c r="AT551" s="65"/>
      <c r="AU551" s="65"/>
      <c r="AV551" s="65"/>
      <c r="AW551" s="65"/>
      <c r="AX551" s="65"/>
      <c r="AY551" s="65"/>
      <c r="AZ551" s="65"/>
      <c r="BA551" s="65"/>
      <c r="BB551" s="65"/>
      <c r="BC551" s="65"/>
      <c r="BD551" s="65"/>
      <c r="BE551" s="65"/>
      <c r="BF551" s="65"/>
      <c r="BG551" s="65"/>
      <c r="BH551" s="65"/>
      <c r="BI551" s="65"/>
      <c r="BJ551" s="65"/>
      <c r="BK551" s="65">
        <v>0</v>
      </c>
      <c r="BL551" s="65">
        <v>0</v>
      </c>
      <c r="BM551" s="65">
        <v>0</v>
      </c>
      <c r="BN551" s="65">
        <f>IF(O551-BK551&gt;0,O551-BK551,0)</f>
        <v>0</v>
      </c>
      <c r="BO551" s="67">
        <f>IF(Q551-BM551&gt;0,Q551-BM551,0)</f>
        <v>0</v>
      </c>
      <c r="BP551" s="65">
        <f>IF(BN551+BO551&gt;0,BN551+BO551,0)</f>
        <v>0</v>
      </c>
      <c r="BQ551" s="65">
        <f>IF(U551=0,0,U551)</f>
        <v>0</v>
      </c>
      <c r="BR551" s="65">
        <f>IF(W551=0,0,W551)</f>
        <v>0</v>
      </c>
      <c r="BS551" s="65">
        <f>IF(BQ551+BR551&gt;0,BQ551+BR551,0)</f>
        <v>0</v>
      </c>
      <c r="BT551" s="65">
        <f>IF(V551&gt;0,V551,0)</f>
        <v>0</v>
      </c>
      <c r="BU551" s="65">
        <f>IF(BP551=0,0,BP551)</f>
        <v>0</v>
      </c>
      <c r="BV551" s="65">
        <f>IF(BS551=0,0,BS551)</f>
        <v>0</v>
      </c>
      <c r="BW551" s="65">
        <f>IF(BP551+BT551+BV551&gt;0,BP551+BT551+BV551,0)</f>
        <v>0</v>
      </c>
      <c r="BX551" s="6"/>
      <c r="BY551" s="6"/>
      <c r="BZ551" s="6"/>
      <c r="CA551" s="6"/>
      <c r="CB551" s="6"/>
      <c r="CC551" s="6"/>
      <c r="CD551" s="6"/>
      <c r="CE551" s="6"/>
      <c r="CF551" s="6"/>
      <c r="CG551" s="6"/>
    </row>
    <row r="552" spans="1:85" ht="15.75">
      <c r="A552" s="75"/>
      <c r="B552" s="76"/>
      <c r="C552" s="77"/>
      <c r="D552" s="78" t="s">
        <v>83</v>
      </c>
      <c r="E552" s="45">
        <f t="shared" ref="E552:H552" si="2827">SUM(E553:E555)</f>
        <v>0</v>
      </c>
      <c r="F552" s="45">
        <f t="shared" si="2827"/>
        <v>0</v>
      </c>
      <c r="G552" s="45">
        <f t="shared" si="2827"/>
        <v>0</v>
      </c>
      <c r="H552" s="45">
        <f t="shared" si="2827"/>
        <v>0</v>
      </c>
      <c r="I552" s="47">
        <f t="shared" si="2704"/>
        <v>0</v>
      </c>
      <c r="J552" s="47">
        <f t="shared" si="2705"/>
        <v>0</v>
      </c>
      <c r="K552" s="45">
        <f t="shared" ref="K552:W552" si="2828">SUM(K553:K555)</f>
        <v>0</v>
      </c>
      <c r="L552" s="45">
        <f t="shared" si="2828"/>
        <v>0</v>
      </c>
      <c r="M552" s="45">
        <f t="shared" si="2828"/>
        <v>0</v>
      </c>
      <c r="N552" s="45">
        <f t="shared" si="2828"/>
        <v>0</v>
      </c>
      <c r="O552" s="45">
        <f t="shared" si="2828"/>
        <v>0</v>
      </c>
      <c r="P552" s="45">
        <f t="shared" si="2828"/>
        <v>0</v>
      </c>
      <c r="Q552" s="45">
        <f t="shared" si="2828"/>
        <v>0</v>
      </c>
      <c r="R552" s="45">
        <f t="shared" si="2828"/>
        <v>0</v>
      </c>
      <c r="S552" s="45">
        <f t="shared" si="2828"/>
        <v>0</v>
      </c>
      <c r="T552" s="45">
        <f t="shared" si="2828"/>
        <v>0</v>
      </c>
      <c r="U552" s="45">
        <f t="shared" si="2828"/>
        <v>0</v>
      </c>
      <c r="V552" s="45">
        <f t="shared" si="2828"/>
        <v>0</v>
      </c>
      <c r="W552" s="45">
        <f t="shared" si="2828"/>
        <v>0</v>
      </c>
      <c r="X552" s="50">
        <f t="shared" ref="X552:Y552" si="2829">IF(O552&gt;0,O552/K552,0)</f>
        <v>0</v>
      </c>
      <c r="Y552" s="50">
        <f t="shared" si="2829"/>
        <v>0</v>
      </c>
      <c r="Z552" s="50">
        <f t="shared" si="2708"/>
        <v>0</v>
      </c>
      <c r="AA552" s="45">
        <f t="shared" ref="AA552:BW552" si="2830">SUM(AA553:AA555)</f>
        <v>0</v>
      </c>
      <c r="AB552" s="45">
        <f t="shared" si="2830"/>
        <v>0</v>
      </c>
      <c r="AC552" s="45">
        <f t="shared" si="2830"/>
        <v>0</v>
      </c>
      <c r="AD552" s="45">
        <f t="shared" si="2830"/>
        <v>0</v>
      </c>
      <c r="AE552" s="45">
        <f t="shared" si="2830"/>
        <v>0</v>
      </c>
      <c r="AF552" s="45">
        <f t="shared" si="2830"/>
        <v>0</v>
      </c>
      <c r="AG552" s="45">
        <f t="shared" si="2830"/>
        <v>0</v>
      </c>
      <c r="AH552" s="45">
        <f t="shared" si="2830"/>
        <v>0</v>
      </c>
      <c r="AI552" s="45">
        <f t="shared" si="2830"/>
        <v>0</v>
      </c>
      <c r="AJ552" s="45">
        <f t="shared" si="2830"/>
        <v>0</v>
      </c>
      <c r="AK552" s="45">
        <f t="shared" si="2830"/>
        <v>0</v>
      </c>
      <c r="AL552" s="45">
        <f t="shared" si="2830"/>
        <v>0</v>
      </c>
      <c r="AM552" s="45">
        <f t="shared" si="2830"/>
        <v>0</v>
      </c>
      <c r="AN552" s="45">
        <f t="shared" si="2830"/>
        <v>0</v>
      </c>
      <c r="AO552" s="45">
        <f t="shared" si="2830"/>
        <v>0</v>
      </c>
      <c r="AP552" s="45">
        <f t="shared" si="2830"/>
        <v>0</v>
      </c>
      <c r="AQ552" s="45">
        <f t="shared" si="2830"/>
        <v>0</v>
      </c>
      <c r="AR552" s="45">
        <f t="shared" si="2830"/>
        <v>0</v>
      </c>
      <c r="AS552" s="45">
        <f t="shared" si="2830"/>
        <v>0</v>
      </c>
      <c r="AT552" s="45">
        <f t="shared" si="2830"/>
        <v>0</v>
      </c>
      <c r="AU552" s="45">
        <f t="shared" si="2830"/>
        <v>0</v>
      </c>
      <c r="AV552" s="45">
        <f t="shared" si="2830"/>
        <v>0</v>
      </c>
      <c r="AW552" s="45">
        <f t="shared" si="2830"/>
        <v>0</v>
      </c>
      <c r="AX552" s="45">
        <f t="shared" si="2830"/>
        <v>0</v>
      </c>
      <c r="AY552" s="45">
        <f t="shared" si="2830"/>
        <v>0</v>
      </c>
      <c r="AZ552" s="45">
        <f t="shared" si="2830"/>
        <v>0</v>
      </c>
      <c r="BA552" s="45">
        <f t="shared" si="2830"/>
        <v>0</v>
      </c>
      <c r="BB552" s="45">
        <f t="shared" si="2830"/>
        <v>0</v>
      </c>
      <c r="BC552" s="45">
        <f t="shared" si="2830"/>
        <v>0</v>
      </c>
      <c r="BD552" s="45">
        <f t="shared" si="2830"/>
        <v>0</v>
      </c>
      <c r="BE552" s="45">
        <f t="shared" si="2830"/>
        <v>0</v>
      </c>
      <c r="BF552" s="45">
        <f t="shared" si="2830"/>
        <v>0</v>
      </c>
      <c r="BG552" s="45">
        <f t="shared" si="2830"/>
        <v>0</v>
      </c>
      <c r="BH552" s="45">
        <f t="shared" si="2830"/>
        <v>0</v>
      </c>
      <c r="BI552" s="45">
        <f t="shared" si="2830"/>
        <v>0</v>
      </c>
      <c r="BJ552" s="45">
        <f t="shared" si="2830"/>
        <v>0</v>
      </c>
      <c r="BK552" s="45">
        <f t="shared" si="2830"/>
        <v>0</v>
      </c>
      <c r="BL552" s="45">
        <f t="shared" si="2830"/>
        <v>0</v>
      </c>
      <c r="BM552" s="45">
        <f t="shared" si="2830"/>
        <v>0</v>
      </c>
      <c r="BN552" s="45">
        <f t="shared" si="2830"/>
        <v>0</v>
      </c>
      <c r="BO552" s="45">
        <f t="shared" si="2830"/>
        <v>0</v>
      </c>
      <c r="BP552" s="45">
        <f t="shared" si="2830"/>
        <v>0</v>
      </c>
      <c r="BQ552" s="45">
        <f t="shared" si="2830"/>
        <v>0</v>
      </c>
      <c r="BR552" s="45">
        <f t="shared" si="2830"/>
        <v>0</v>
      </c>
      <c r="BS552" s="45">
        <f t="shared" si="2830"/>
        <v>0</v>
      </c>
      <c r="BT552" s="45">
        <f t="shared" si="2830"/>
        <v>0</v>
      </c>
      <c r="BU552" s="45">
        <f t="shared" si="2830"/>
        <v>0</v>
      </c>
      <c r="BV552" s="45">
        <f t="shared" si="2830"/>
        <v>0</v>
      </c>
      <c r="BW552" s="45">
        <f t="shared" si="2830"/>
        <v>0</v>
      </c>
      <c r="BX552" s="51"/>
      <c r="BY552" s="51"/>
      <c r="BZ552" s="51"/>
      <c r="CA552" s="51"/>
      <c r="CB552" s="51"/>
      <c r="CC552" s="51"/>
      <c r="CD552" s="51"/>
      <c r="CE552" s="51"/>
      <c r="CF552" s="51"/>
      <c r="CG552" s="51"/>
    </row>
    <row r="553" spans="1:85" ht="15.75" customHeight="1">
      <c r="A553" s="68"/>
      <c r="B553" s="103"/>
      <c r="C553" s="68" t="s">
        <v>434</v>
      </c>
      <c r="D553" s="122" t="s">
        <v>435</v>
      </c>
      <c r="E553" s="99">
        <v>0</v>
      </c>
      <c r="F553" s="99">
        <v>0</v>
      </c>
      <c r="G553" s="58">
        <f t="shared" ref="G553:G555" si="2831">E553-F553</f>
        <v>0</v>
      </c>
      <c r="H553" s="99">
        <v>0</v>
      </c>
      <c r="I553" s="59">
        <f t="shared" si="2704"/>
        <v>0</v>
      </c>
      <c r="J553" s="59">
        <f t="shared" si="2705"/>
        <v>0</v>
      </c>
      <c r="K553" s="74">
        <v>0</v>
      </c>
      <c r="L553" s="74">
        <v>0</v>
      </c>
      <c r="M553" s="74">
        <v>0</v>
      </c>
      <c r="N553" s="74">
        <v>0</v>
      </c>
      <c r="O553" s="61">
        <f t="shared" ref="O553:Q553" si="2832">AA553+AD553+AG553+AJ553+AM553+AP553+AS553+AV553+AY553+BB553+BE553+BH553</f>
        <v>0</v>
      </c>
      <c r="P553" s="61">
        <f t="shared" si="2832"/>
        <v>0</v>
      </c>
      <c r="Q553" s="61">
        <f t="shared" si="2832"/>
        <v>0</v>
      </c>
      <c r="R553" s="61">
        <f t="shared" ref="R553:T553" si="2833">IF(BK553=0,SUM(AA553+AD553+AG553+AJ553+AM553+AP553+AS553+AV553+AY553+BB553+BE553+BH553),BK553)</f>
        <v>0</v>
      </c>
      <c r="S553" s="61">
        <f t="shared" si="2833"/>
        <v>0</v>
      </c>
      <c r="T553" s="61">
        <f t="shared" si="2833"/>
        <v>0</v>
      </c>
      <c r="U553" s="63">
        <f t="shared" ref="U553:U555" si="2834">K553-O553</f>
        <v>0</v>
      </c>
      <c r="V553" s="63">
        <f t="shared" ref="V553:V555" si="2835">L553-M553-S553</f>
        <v>0</v>
      </c>
      <c r="W553" s="63">
        <f t="shared" ref="W553:W555" si="2836">N553-Q553</f>
        <v>0</v>
      </c>
      <c r="X553" s="64">
        <f t="shared" ref="X553:Y553" si="2837">IF(O553&gt;0,O553/K553,0)</f>
        <v>0</v>
      </c>
      <c r="Y553" s="64">
        <f t="shared" si="2837"/>
        <v>0</v>
      </c>
      <c r="Z553" s="64">
        <f t="shared" si="2708"/>
        <v>0</v>
      </c>
      <c r="AA553" s="65"/>
      <c r="AB553" s="65"/>
      <c r="AC553" s="65"/>
      <c r="AD553" s="65"/>
      <c r="AE553" s="66"/>
      <c r="AF553" s="66"/>
      <c r="AG553" s="66"/>
      <c r="AH553" s="66"/>
      <c r="AI553" s="65"/>
      <c r="AJ553" s="65"/>
      <c r="AK553" s="65"/>
      <c r="AL553" s="65"/>
      <c r="AM553" s="65"/>
      <c r="AN553" s="65"/>
      <c r="AO553" s="65"/>
      <c r="AP553" s="65"/>
      <c r="AQ553" s="65"/>
      <c r="AR553" s="65"/>
      <c r="AS553" s="65"/>
      <c r="AT553" s="65"/>
      <c r="AU553" s="65"/>
      <c r="AV553" s="65"/>
      <c r="AW553" s="65"/>
      <c r="AX553" s="65"/>
      <c r="AY553" s="65"/>
      <c r="AZ553" s="65"/>
      <c r="BA553" s="65"/>
      <c r="BB553" s="65"/>
      <c r="BC553" s="65"/>
      <c r="BD553" s="65"/>
      <c r="BE553" s="65"/>
      <c r="BF553" s="65"/>
      <c r="BG553" s="65"/>
      <c r="BH553" s="65"/>
      <c r="BI553" s="65"/>
      <c r="BJ553" s="65"/>
      <c r="BK553" s="65">
        <v>0</v>
      </c>
      <c r="BL553" s="65">
        <v>0</v>
      </c>
      <c r="BM553" s="65">
        <v>0</v>
      </c>
      <c r="BN553" s="65">
        <f t="shared" ref="BN553:BN555" si="2838">IF(O553-BK553&gt;0,O553-BK553,0)</f>
        <v>0</v>
      </c>
      <c r="BO553" s="67">
        <f t="shared" ref="BO553:BO555" si="2839">IF(Q553-BM553&gt;0,Q553-BM553,0)</f>
        <v>0</v>
      </c>
      <c r="BP553" s="65">
        <f t="shared" ref="BP553:BP555" si="2840">IF(BN553+BO553&gt;0,BN553+BO553,0)</f>
        <v>0</v>
      </c>
      <c r="BQ553" s="65">
        <f t="shared" ref="BQ553:BQ555" si="2841">IF(U553=0,0,U553)</f>
        <v>0</v>
      </c>
      <c r="BR553" s="65">
        <f t="shared" ref="BR553:BR555" si="2842">IF(W553=0,0,W553)</f>
        <v>0</v>
      </c>
      <c r="BS553" s="65">
        <f t="shared" ref="BS553:BS555" si="2843">IF(BQ553+BR553&gt;0,BQ553+BR553,0)</f>
        <v>0</v>
      </c>
      <c r="BT553" s="65">
        <f t="shared" ref="BT553:BT555" si="2844">IF(V553&gt;0,V553,0)</f>
        <v>0</v>
      </c>
      <c r="BU553" s="65">
        <f t="shared" ref="BU553:BU555" si="2845">IF(BP553=0,0,BP553)</f>
        <v>0</v>
      </c>
      <c r="BV553" s="65">
        <f t="shared" ref="BV553:BV555" si="2846">IF(BS553=0,0,BS553)</f>
        <v>0</v>
      </c>
      <c r="BW553" s="65">
        <f t="shared" ref="BW553:BW555" si="2847">IF(BP553+BT553+BV553&gt;0,BP553+BT553+BV553,0)</f>
        <v>0</v>
      </c>
      <c r="BX553" s="6"/>
      <c r="BY553" s="6"/>
      <c r="BZ553" s="6"/>
      <c r="CA553" s="6"/>
      <c r="CB553" s="6"/>
      <c r="CC553" s="6"/>
      <c r="CD553" s="6"/>
      <c r="CE553" s="6"/>
      <c r="CF553" s="6"/>
      <c r="CG553" s="6"/>
    </row>
    <row r="554" spans="1:85" ht="15.75" customHeight="1">
      <c r="A554" s="68"/>
      <c r="B554" s="103"/>
      <c r="C554" s="68" t="s">
        <v>98</v>
      </c>
      <c r="D554" s="70" t="s">
        <v>677</v>
      </c>
      <c r="E554" s="99">
        <v>0</v>
      </c>
      <c r="F554" s="99">
        <v>0</v>
      </c>
      <c r="G554" s="58">
        <f t="shared" si="2831"/>
        <v>0</v>
      </c>
      <c r="H554" s="99">
        <v>0</v>
      </c>
      <c r="I554" s="59">
        <f t="shared" si="2704"/>
        <v>0</v>
      </c>
      <c r="J554" s="59">
        <f t="shared" si="2705"/>
        <v>0</v>
      </c>
      <c r="K554" s="74">
        <v>0</v>
      </c>
      <c r="L554" s="74">
        <v>0</v>
      </c>
      <c r="M554" s="74">
        <v>0</v>
      </c>
      <c r="N554" s="74">
        <v>0</v>
      </c>
      <c r="O554" s="61">
        <f t="shared" ref="O554:Q554" si="2848">AA554+AD554+AG554+AJ554+AM554+AP554+AS554+AV554+AY554+BB554+BE554+BH554</f>
        <v>0</v>
      </c>
      <c r="P554" s="61">
        <f t="shared" si="2848"/>
        <v>0</v>
      </c>
      <c r="Q554" s="61">
        <f t="shared" si="2848"/>
        <v>0</v>
      </c>
      <c r="R554" s="61">
        <f t="shared" ref="R554:T554" si="2849">IF(BK554=0,SUM(AA554+AD554+AG554+AJ554+AM554+AP554+AS554+AV554+AY554+BB554+BE554+BH554),BK554)</f>
        <v>0</v>
      </c>
      <c r="S554" s="61">
        <f t="shared" si="2849"/>
        <v>0</v>
      </c>
      <c r="T554" s="61">
        <f t="shared" si="2849"/>
        <v>0</v>
      </c>
      <c r="U554" s="63">
        <f t="shared" si="2834"/>
        <v>0</v>
      </c>
      <c r="V554" s="63">
        <f t="shared" si="2835"/>
        <v>0</v>
      </c>
      <c r="W554" s="63">
        <f t="shared" si="2836"/>
        <v>0</v>
      </c>
      <c r="X554" s="64">
        <f t="shared" ref="X554:Y554" si="2850">IF(O554&gt;0,O554/K554,0)</f>
        <v>0</v>
      </c>
      <c r="Y554" s="64">
        <f t="shared" si="2850"/>
        <v>0</v>
      </c>
      <c r="Z554" s="64">
        <f t="shared" si="2708"/>
        <v>0</v>
      </c>
      <c r="AA554" s="65"/>
      <c r="AB554" s="65"/>
      <c r="AC554" s="65"/>
      <c r="AD554" s="65"/>
      <c r="AE554" s="66"/>
      <c r="AF554" s="66"/>
      <c r="AG554" s="66"/>
      <c r="AH554" s="66"/>
      <c r="AI554" s="65"/>
      <c r="AJ554" s="65"/>
      <c r="AK554" s="65"/>
      <c r="AL554" s="65"/>
      <c r="AM554" s="65"/>
      <c r="AN554" s="65"/>
      <c r="AO554" s="65"/>
      <c r="AP554" s="65"/>
      <c r="AQ554" s="65"/>
      <c r="AR554" s="65"/>
      <c r="AS554" s="65"/>
      <c r="AT554" s="65"/>
      <c r="AU554" s="65"/>
      <c r="AV554" s="65"/>
      <c r="AW554" s="65"/>
      <c r="AX554" s="65"/>
      <c r="AY554" s="65"/>
      <c r="AZ554" s="65"/>
      <c r="BA554" s="65"/>
      <c r="BB554" s="65"/>
      <c r="BC554" s="65"/>
      <c r="BD554" s="65"/>
      <c r="BE554" s="65"/>
      <c r="BF554" s="65"/>
      <c r="BG554" s="65"/>
      <c r="BH554" s="65"/>
      <c r="BI554" s="65"/>
      <c r="BJ554" s="65"/>
      <c r="BK554" s="65">
        <v>0</v>
      </c>
      <c r="BL554" s="65">
        <v>0</v>
      </c>
      <c r="BM554" s="65">
        <v>0</v>
      </c>
      <c r="BN554" s="65">
        <f t="shared" si="2838"/>
        <v>0</v>
      </c>
      <c r="BO554" s="67">
        <f t="shared" si="2839"/>
        <v>0</v>
      </c>
      <c r="BP554" s="65">
        <f t="shared" si="2840"/>
        <v>0</v>
      </c>
      <c r="BQ554" s="65">
        <f t="shared" si="2841"/>
        <v>0</v>
      </c>
      <c r="BR554" s="65">
        <f t="shared" si="2842"/>
        <v>0</v>
      </c>
      <c r="BS554" s="65">
        <f t="shared" si="2843"/>
        <v>0</v>
      </c>
      <c r="BT554" s="65">
        <f t="shared" si="2844"/>
        <v>0</v>
      </c>
      <c r="BU554" s="65">
        <f t="shared" si="2845"/>
        <v>0</v>
      </c>
      <c r="BV554" s="65">
        <f t="shared" si="2846"/>
        <v>0</v>
      </c>
      <c r="BW554" s="65">
        <f t="shared" si="2847"/>
        <v>0</v>
      </c>
      <c r="BX554" s="6"/>
      <c r="BY554" s="6"/>
      <c r="BZ554" s="6"/>
      <c r="CA554" s="6"/>
      <c r="CB554" s="6"/>
      <c r="CC554" s="6"/>
      <c r="CD554" s="6"/>
      <c r="CE554" s="6"/>
      <c r="CF554" s="6"/>
      <c r="CG554" s="6"/>
    </row>
    <row r="555" spans="1:85" ht="15.75" customHeight="1">
      <c r="A555" s="71"/>
      <c r="B555" s="72"/>
      <c r="C555" s="71" t="s">
        <v>440</v>
      </c>
      <c r="D555" s="370" t="s">
        <v>441</v>
      </c>
      <c r="E555" s="99">
        <v>0</v>
      </c>
      <c r="F555" s="99">
        <v>0</v>
      </c>
      <c r="G555" s="58">
        <f t="shared" si="2831"/>
        <v>0</v>
      </c>
      <c r="H555" s="99">
        <v>0</v>
      </c>
      <c r="I555" s="59">
        <f t="shared" si="2704"/>
        <v>0</v>
      </c>
      <c r="J555" s="59">
        <f t="shared" si="2705"/>
        <v>0</v>
      </c>
      <c r="K555" s="74">
        <v>0</v>
      </c>
      <c r="L555" s="74">
        <v>0</v>
      </c>
      <c r="M555" s="74">
        <v>0</v>
      </c>
      <c r="N555" s="74">
        <v>0</v>
      </c>
      <c r="O555" s="61">
        <f t="shared" ref="O555:Q555" si="2851">AA555+AD555+AG555+AJ555+AM555+AP555+AS555+AV555+AY555+BB555+BE555+BH555</f>
        <v>0</v>
      </c>
      <c r="P555" s="61">
        <f t="shared" si="2851"/>
        <v>0</v>
      </c>
      <c r="Q555" s="61">
        <f t="shared" si="2851"/>
        <v>0</v>
      </c>
      <c r="R555" s="61">
        <f t="shared" ref="R555:T555" si="2852">IF(BK555=0,SUM(AA555+AD555+AG555+AJ555+AM555+AP555+AS555+AV555+AY555+BB555+BE555+BH555),BK555)</f>
        <v>0</v>
      </c>
      <c r="S555" s="61">
        <f t="shared" si="2852"/>
        <v>0</v>
      </c>
      <c r="T555" s="61">
        <f t="shared" si="2852"/>
        <v>0</v>
      </c>
      <c r="U555" s="63">
        <f t="shared" si="2834"/>
        <v>0</v>
      </c>
      <c r="V555" s="63">
        <f t="shared" si="2835"/>
        <v>0</v>
      </c>
      <c r="W555" s="63">
        <f t="shared" si="2836"/>
        <v>0</v>
      </c>
      <c r="X555" s="64">
        <f t="shared" ref="X555:Y555" si="2853">IF(O555&gt;0,O555/K555,0)</f>
        <v>0</v>
      </c>
      <c r="Y555" s="64">
        <f t="shared" si="2853"/>
        <v>0</v>
      </c>
      <c r="Z555" s="64">
        <f t="shared" si="2708"/>
        <v>0</v>
      </c>
      <c r="AA555" s="65"/>
      <c r="AB555" s="65"/>
      <c r="AC555" s="65"/>
      <c r="AD555" s="65"/>
      <c r="AE555" s="66"/>
      <c r="AF555" s="66"/>
      <c r="AG555" s="66"/>
      <c r="AH555" s="66"/>
      <c r="AI555" s="65"/>
      <c r="AJ555" s="65"/>
      <c r="AK555" s="65"/>
      <c r="AL555" s="65"/>
      <c r="AM555" s="65"/>
      <c r="AN555" s="65"/>
      <c r="AO555" s="65"/>
      <c r="AP555" s="65"/>
      <c r="AQ555" s="65"/>
      <c r="AR555" s="65"/>
      <c r="AS555" s="65"/>
      <c r="AT555" s="65"/>
      <c r="AU555" s="65"/>
      <c r="AV555" s="65"/>
      <c r="AW555" s="65"/>
      <c r="AX555" s="65"/>
      <c r="AY555" s="65"/>
      <c r="AZ555" s="65"/>
      <c r="BA555" s="65"/>
      <c r="BB555" s="65"/>
      <c r="BC555" s="65"/>
      <c r="BD555" s="65"/>
      <c r="BE555" s="65"/>
      <c r="BF555" s="65"/>
      <c r="BG555" s="65"/>
      <c r="BH555" s="65"/>
      <c r="BI555" s="65"/>
      <c r="BJ555" s="65"/>
      <c r="BK555" s="65">
        <v>0</v>
      </c>
      <c r="BL555" s="65">
        <v>0</v>
      </c>
      <c r="BM555" s="65">
        <v>0</v>
      </c>
      <c r="BN555" s="65">
        <f t="shared" si="2838"/>
        <v>0</v>
      </c>
      <c r="BO555" s="67">
        <f t="shared" si="2839"/>
        <v>0</v>
      </c>
      <c r="BP555" s="65">
        <f t="shared" si="2840"/>
        <v>0</v>
      </c>
      <c r="BQ555" s="65">
        <f t="shared" si="2841"/>
        <v>0</v>
      </c>
      <c r="BR555" s="65">
        <f t="shared" si="2842"/>
        <v>0</v>
      </c>
      <c r="BS555" s="65">
        <f t="shared" si="2843"/>
        <v>0</v>
      </c>
      <c r="BT555" s="65">
        <f t="shared" si="2844"/>
        <v>0</v>
      </c>
      <c r="BU555" s="65">
        <f t="shared" si="2845"/>
        <v>0</v>
      </c>
      <c r="BV555" s="65">
        <f t="shared" si="2846"/>
        <v>0</v>
      </c>
      <c r="BW555" s="65">
        <f t="shared" si="2847"/>
        <v>0</v>
      </c>
      <c r="BX555" s="6"/>
      <c r="BY555" s="6"/>
      <c r="BZ555" s="6"/>
      <c r="CA555" s="6"/>
      <c r="CB555" s="6"/>
      <c r="CC555" s="6"/>
      <c r="CD555" s="6"/>
      <c r="CE555" s="6"/>
      <c r="CF555" s="6"/>
      <c r="CG555" s="6"/>
    </row>
    <row r="556" spans="1:85" ht="15.75">
      <c r="A556" s="75"/>
      <c r="B556" s="76"/>
      <c r="C556" s="77"/>
      <c r="D556" s="78" t="s">
        <v>168</v>
      </c>
      <c r="E556" s="45">
        <f t="shared" ref="E556:H556" si="2854">SUM(E557:E558)</f>
        <v>0</v>
      </c>
      <c r="F556" s="46">
        <f t="shared" si="2854"/>
        <v>0</v>
      </c>
      <c r="G556" s="46">
        <f t="shared" si="2854"/>
        <v>0</v>
      </c>
      <c r="H556" s="46">
        <f t="shared" si="2854"/>
        <v>0</v>
      </c>
      <c r="I556" s="47">
        <f t="shared" si="2704"/>
        <v>0</v>
      </c>
      <c r="J556" s="47">
        <f t="shared" si="2705"/>
        <v>0</v>
      </c>
      <c r="K556" s="46">
        <f t="shared" ref="K556:W556" si="2855">SUM(K557:K558)</f>
        <v>0</v>
      </c>
      <c r="L556" s="46">
        <f t="shared" si="2855"/>
        <v>0</v>
      </c>
      <c r="M556" s="46">
        <f t="shared" si="2855"/>
        <v>0</v>
      </c>
      <c r="N556" s="46">
        <f t="shared" si="2855"/>
        <v>0</v>
      </c>
      <c r="O556" s="46">
        <f t="shared" si="2855"/>
        <v>0</v>
      </c>
      <c r="P556" s="46">
        <f t="shared" si="2855"/>
        <v>0</v>
      </c>
      <c r="Q556" s="46">
        <f t="shared" si="2855"/>
        <v>0</v>
      </c>
      <c r="R556" s="46">
        <f t="shared" si="2855"/>
        <v>0</v>
      </c>
      <c r="S556" s="46">
        <f t="shared" si="2855"/>
        <v>0</v>
      </c>
      <c r="T556" s="46">
        <f t="shared" si="2855"/>
        <v>0</v>
      </c>
      <c r="U556" s="46">
        <f t="shared" si="2855"/>
        <v>0</v>
      </c>
      <c r="V556" s="46">
        <f t="shared" si="2855"/>
        <v>0</v>
      </c>
      <c r="W556" s="46">
        <f t="shared" si="2855"/>
        <v>0</v>
      </c>
      <c r="X556" s="50">
        <f t="shared" ref="X556:Y556" si="2856">IF(O556&gt;0,O556/K556,0)</f>
        <v>0</v>
      </c>
      <c r="Y556" s="50">
        <f t="shared" si="2856"/>
        <v>0</v>
      </c>
      <c r="Z556" s="50">
        <f t="shared" si="2708"/>
        <v>0</v>
      </c>
      <c r="AA556" s="46">
        <f t="shared" ref="AA556:BW556" si="2857">SUM(AA557:AA558)</f>
        <v>0</v>
      </c>
      <c r="AB556" s="46">
        <f t="shared" si="2857"/>
        <v>0</v>
      </c>
      <c r="AC556" s="46">
        <f t="shared" si="2857"/>
        <v>0</v>
      </c>
      <c r="AD556" s="46">
        <f t="shared" si="2857"/>
        <v>0</v>
      </c>
      <c r="AE556" s="46">
        <f t="shared" si="2857"/>
        <v>0</v>
      </c>
      <c r="AF556" s="46">
        <f t="shared" si="2857"/>
        <v>0</v>
      </c>
      <c r="AG556" s="46">
        <f t="shared" si="2857"/>
        <v>0</v>
      </c>
      <c r="AH556" s="46">
        <f t="shared" si="2857"/>
        <v>0</v>
      </c>
      <c r="AI556" s="46">
        <f t="shared" si="2857"/>
        <v>0</v>
      </c>
      <c r="AJ556" s="46">
        <f t="shared" si="2857"/>
        <v>0</v>
      </c>
      <c r="AK556" s="46">
        <f t="shared" si="2857"/>
        <v>0</v>
      </c>
      <c r="AL556" s="46">
        <f t="shared" si="2857"/>
        <v>0</v>
      </c>
      <c r="AM556" s="46">
        <f t="shared" si="2857"/>
        <v>0</v>
      </c>
      <c r="AN556" s="46">
        <f t="shared" si="2857"/>
        <v>0</v>
      </c>
      <c r="AO556" s="46">
        <f t="shared" si="2857"/>
        <v>0</v>
      </c>
      <c r="AP556" s="46">
        <f t="shared" si="2857"/>
        <v>0</v>
      </c>
      <c r="AQ556" s="46">
        <f t="shared" si="2857"/>
        <v>0</v>
      </c>
      <c r="AR556" s="46">
        <f t="shared" si="2857"/>
        <v>0</v>
      </c>
      <c r="AS556" s="46">
        <f t="shared" si="2857"/>
        <v>0</v>
      </c>
      <c r="AT556" s="46">
        <f t="shared" si="2857"/>
        <v>0</v>
      </c>
      <c r="AU556" s="46">
        <f t="shared" si="2857"/>
        <v>0</v>
      </c>
      <c r="AV556" s="46">
        <f t="shared" si="2857"/>
        <v>0</v>
      </c>
      <c r="AW556" s="46">
        <f t="shared" si="2857"/>
        <v>0</v>
      </c>
      <c r="AX556" s="46">
        <f t="shared" si="2857"/>
        <v>0</v>
      </c>
      <c r="AY556" s="46">
        <f t="shared" si="2857"/>
        <v>0</v>
      </c>
      <c r="AZ556" s="46">
        <f t="shared" si="2857"/>
        <v>0</v>
      </c>
      <c r="BA556" s="46">
        <f t="shared" si="2857"/>
        <v>0</v>
      </c>
      <c r="BB556" s="46">
        <f t="shared" si="2857"/>
        <v>0</v>
      </c>
      <c r="BC556" s="46">
        <f t="shared" si="2857"/>
        <v>0</v>
      </c>
      <c r="BD556" s="46">
        <f t="shared" si="2857"/>
        <v>0</v>
      </c>
      <c r="BE556" s="46">
        <f t="shared" si="2857"/>
        <v>0</v>
      </c>
      <c r="BF556" s="46">
        <f t="shared" si="2857"/>
        <v>0</v>
      </c>
      <c r="BG556" s="46">
        <f t="shared" si="2857"/>
        <v>0</v>
      </c>
      <c r="BH556" s="46">
        <f t="shared" si="2857"/>
        <v>0</v>
      </c>
      <c r="BI556" s="46">
        <f t="shared" si="2857"/>
        <v>0</v>
      </c>
      <c r="BJ556" s="46">
        <f t="shared" si="2857"/>
        <v>0</v>
      </c>
      <c r="BK556" s="46">
        <f t="shared" si="2857"/>
        <v>0</v>
      </c>
      <c r="BL556" s="46">
        <f t="shared" si="2857"/>
        <v>0</v>
      </c>
      <c r="BM556" s="46">
        <f t="shared" si="2857"/>
        <v>0</v>
      </c>
      <c r="BN556" s="46">
        <f t="shared" si="2857"/>
        <v>0</v>
      </c>
      <c r="BO556" s="46">
        <f t="shared" si="2857"/>
        <v>0</v>
      </c>
      <c r="BP556" s="46">
        <f t="shared" si="2857"/>
        <v>0</v>
      </c>
      <c r="BQ556" s="46">
        <f t="shared" si="2857"/>
        <v>0</v>
      </c>
      <c r="BR556" s="46">
        <f t="shared" si="2857"/>
        <v>0</v>
      </c>
      <c r="BS556" s="46">
        <f t="shared" si="2857"/>
        <v>0</v>
      </c>
      <c r="BT556" s="46">
        <f t="shared" si="2857"/>
        <v>0</v>
      </c>
      <c r="BU556" s="46">
        <f t="shared" si="2857"/>
        <v>0</v>
      </c>
      <c r="BV556" s="46">
        <f t="shared" si="2857"/>
        <v>0</v>
      </c>
      <c r="BW556" s="46">
        <f t="shared" si="2857"/>
        <v>0</v>
      </c>
      <c r="BX556" s="51"/>
      <c r="BY556" s="51"/>
      <c r="BZ556" s="51"/>
      <c r="CA556" s="51"/>
      <c r="CB556" s="51"/>
      <c r="CC556" s="51"/>
      <c r="CD556" s="51"/>
      <c r="CE556" s="51"/>
      <c r="CF556" s="51"/>
      <c r="CG556" s="51"/>
    </row>
    <row r="557" spans="1:85" ht="15.75" customHeight="1">
      <c r="A557" s="54"/>
      <c r="B557" s="102"/>
      <c r="C557" s="68" t="s">
        <v>181</v>
      </c>
      <c r="D557" s="193" t="s">
        <v>678</v>
      </c>
      <c r="E557" s="57">
        <v>0</v>
      </c>
      <c r="F557" s="99">
        <v>0</v>
      </c>
      <c r="G557" s="58">
        <f t="shared" ref="G557:G558" si="2858">E557-F557</f>
        <v>0</v>
      </c>
      <c r="H557" s="99">
        <v>0</v>
      </c>
      <c r="I557" s="59">
        <f t="shared" si="2704"/>
        <v>0</v>
      </c>
      <c r="J557" s="59">
        <f t="shared" si="2705"/>
        <v>0</v>
      </c>
      <c r="K557" s="74">
        <v>0</v>
      </c>
      <c r="L557" s="74">
        <v>0</v>
      </c>
      <c r="M557" s="74">
        <v>0</v>
      </c>
      <c r="N557" s="74">
        <v>0</v>
      </c>
      <c r="O557" s="61">
        <f t="shared" ref="O557:Q557" si="2859">AA557+AD557+AG557+AJ557+AM557+AP557+AS557+AV557+AY557+BB557+BE557+BH557</f>
        <v>0</v>
      </c>
      <c r="P557" s="61">
        <f t="shared" si="2859"/>
        <v>0</v>
      </c>
      <c r="Q557" s="61">
        <f t="shared" si="2859"/>
        <v>0</v>
      </c>
      <c r="R557" s="61">
        <f t="shared" ref="R557:T557" si="2860">IF(BK557=0,SUM(AA557+AD557+AG557+AJ557+AM557+AP557+AS557+AV557+AY557+BB557+BE557+BH557),BK557)</f>
        <v>0</v>
      </c>
      <c r="S557" s="61">
        <f t="shared" si="2860"/>
        <v>0</v>
      </c>
      <c r="T557" s="61">
        <f t="shared" si="2860"/>
        <v>0</v>
      </c>
      <c r="U557" s="208">
        <f t="shared" ref="U557:U558" si="2861">K557-O557</f>
        <v>0</v>
      </c>
      <c r="V557" s="63">
        <f t="shared" ref="V557:V558" si="2862">L557-M557-S557</f>
        <v>0</v>
      </c>
      <c r="W557" s="63">
        <f t="shared" ref="W557:W558" si="2863">N557-Q557</f>
        <v>0</v>
      </c>
      <c r="X557" s="64">
        <f t="shared" ref="X557:Y557" si="2864">IF(O557&gt;0,O557/K557,0)</f>
        <v>0</v>
      </c>
      <c r="Y557" s="64">
        <f t="shared" si="2864"/>
        <v>0</v>
      </c>
      <c r="Z557" s="64">
        <f t="shared" si="2708"/>
        <v>0</v>
      </c>
      <c r="AA557" s="65"/>
      <c r="AB557" s="65"/>
      <c r="AC557" s="65"/>
      <c r="AD557" s="65"/>
      <c r="AE557" s="66"/>
      <c r="AF557" s="66"/>
      <c r="AG557" s="66"/>
      <c r="AH557" s="66"/>
      <c r="AI557" s="65"/>
      <c r="AJ557" s="65"/>
      <c r="AK557" s="65"/>
      <c r="AL557" s="65"/>
      <c r="AM557" s="65"/>
      <c r="AN557" s="65"/>
      <c r="AO557" s="65"/>
      <c r="AP557" s="65"/>
      <c r="AQ557" s="65"/>
      <c r="AR557" s="65"/>
      <c r="AS557" s="65"/>
      <c r="AT557" s="65"/>
      <c r="AU557" s="65"/>
      <c r="AV557" s="65"/>
      <c r="AW557" s="65"/>
      <c r="AX557" s="65"/>
      <c r="AY557" s="65"/>
      <c r="AZ557" s="65"/>
      <c r="BA557" s="65"/>
      <c r="BB557" s="65"/>
      <c r="BC557" s="65"/>
      <c r="BD557" s="65"/>
      <c r="BE557" s="65"/>
      <c r="BF557" s="65"/>
      <c r="BG557" s="65"/>
      <c r="BH557" s="65"/>
      <c r="BI557" s="65"/>
      <c r="BJ557" s="65"/>
      <c r="BK557" s="65">
        <v>0</v>
      </c>
      <c r="BL557" s="65">
        <v>0</v>
      </c>
      <c r="BM557" s="65">
        <v>0</v>
      </c>
      <c r="BN557" s="65">
        <f t="shared" ref="BN557:BN558" si="2865">IF(O557-BK557&gt;0,O557-BK557,0)</f>
        <v>0</v>
      </c>
      <c r="BO557" s="67">
        <f t="shared" ref="BO557:BO558" si="2866">IF(Q557-BM557&gt;0,Q557-BM557,0)</f>
        <v>0</v>
      </c>
      <c r="BP557" s="65">
        <f t="shared" ref="BP557:BP558" si="2867">IF(BN557+BO557&gt;0,BN557+BO557,0)</f>
        <v>0</v>
      </c>
      <c r="BQ557" s="65">
        <f t="shared" ref="BQ557:BQ558" si="2868">IF(U557=0,0,U557)</f>
        <v>0</v>
      </c>
      <c r="BR557" s="65">
        <f t="shared" ref="BR557:BR558" si="2869">IF(W557=0,0,W557)</f>
        <v>0</v>
      </c>
      <c r="BS557" s="65">
        <f t="shared" ref="BS557:BS558" si="2870">IF(BQ557+BR557&gt;0,BQ557+BR557,0)</f>
        <v>0</v>
      </c>
      <c r="BT557" s="65">
        <f t="shared" ref="BT557:BT558" si="2871">IF(V557&gt;0,V557,0)</f>
        <v>0</v>
      </c>
      <c r="BU557" s="65">
        <f t="shared" ref="BU557:BU558" si="2872">IF(BP557=0,0,BP557)</f>
        <v>0</v>
      </c>
      <c r="BV557" s="65">
        <f t="shared" ref="BV557:BV558" si="2873">IF(BS557=0,0,BS557)</f>
        <v>0</v>
      </c>
      <c r="BW557" s="65">
        <f t="shared" ref="BW557:BW558" si="2874">IF(BP557+BT557+BV557&gt;0,BP557+BT557+BV557,0)</f>
        <v>0</v>
      </c>
      <c r="BX557" s="6"/>
      <c r="BY557" s="6"/>
      <c r="BZ557" s="6"/>
      <c r="CA557" s="6"/>
      <c r="CB557" s="6"/>
      <c r="CC557" s="6"/>
      <c r="CD557" s="6"/>
      <c r="CE557" s="6"/>
      <c r="CF557" s="6"/>
      <c r="CG557" s="6"/>
    </row>
    <row r="558" spans="1:85" ht="15.75" customHeight="1">
      <c r="A558" s="71"/>
      <c r="B558" s="72"/>
      <c r="C558" s="71"/>
      <c r="D558" s="73"/>
      <c r="E558" s="99">
        <v>0</v>
      </c>
      <c r="F558" s="99">
        <v>0</v>
      </c>
      <c r="G558" s="58">
        <f t="shared" si="2858"/>
        <v>0</v>
      </c>
      <c r="H558" s="99">
        <v>0</v>
      </c>
      <c r="I558" s="59"/>
      <c r="J558" s="59">
        <f t="shared" si="2705"/>
        <v>0</v>
      </c>
      <c r="K558" s="74">
        <v>0</v>
      </c>
      <c r="L558" s="74">
        <v>0</v>
      </c>
      <c r="M558" s="74">
        <v>0</v>
      </c>
      <c r="N558" s="74">
        <v>0</v>
      </c>
      <c r="O558" s="61">
        <f t="shared" ref="O558:Q558" si="2875">AA558+AD558+AG558+AJ558+AM558+AP558+AS558+AV558+AY558+BB558+BE558+BH558</f>
        <v>0</v>
      </c>
      <c r="P558" s="61">
        <f t="shared" si="2875"/>
        <v>0</v>
      </c>
      <c r="Q558" s="61">
        <f t="shared" si="2875"/>
        <v>0</v>
      </c>
      <c r="R558" s="61">
        <f t="shared" ref="R558:T558" si="2876">IF(BK558=0,SUM(AA558+AD558+AG558+AJ558+AM558+AP558+AS558+AV558+AY558+BB558+BE558+BH558),BK558)</f>
        <v>0</v>
      </c>
      <c r="S558" s="61">
        <f t="shared" si="2876"/>
        <v>0</v>
      </c>
      <c r="T558" s="61">
        <f t="shared" si="2876"/>
        <v>0</v>
      </c>
      <c r="U558" s="208">
        <f t="shared" si="2861"/>
        <v>0</v>
      </c>
      <c r="V558" s="63">
        <f t="shared" si="2862"/>
        <v>0</v>
      </c>
      <c r="W558" s="63">
        <f t="shared" si="2863"/>
        <v>0</v>
      </c>
      <c r="X558" s="64">
        <f t="shared" ref="X558:Y558" si="2877">IF(O558&gt;0,O558/K558,0)</f>
        <v>0</v>
      </c>
      <c r="Y558" s="64">
        <f t="shared" si="2877"/>
        <v>0</v>
      </c>
      <c r="Z558" s="64">
        <f t="shared" si="2708"/>
        <v>0</v>
      </c>
      <c r="AA558" s="65"/>
      <c r="AB558" s="65"/>
      <c r="AC558" s="65"/>
      <c r="AD558" s="65"/>
      <c r="AE558" s="66"/>
      <c r="AF558" s="66"/>
      <c r="AG558" s="66"/>
      <c r="AH558" s="66"/>
      <c r="AI558" s="65"/>
      <c r="AJ558" s="65"/>
      <c r="AK558" s="65"/>
      <c r="AL558" s="65"/>
      <c r="AM558" s="65"/>
      <c r="AN558" s="65"/>
      <c r="AO558" s="65"/>
      <c r="AP558" s="65"/>
      <c r="AQ558" s="65"/>
      <c r="AR558" s="65"/>
      <c r="AS558" s="65"/>
      <c r="AT558" s="65"/>
      <c r="AU558" s="65"/>
      <c r="AV558" s="65"/>
      <c r="AW558" s="65"/>
      <c r="AX558" s="65"/>
      <c r="AY558" s="65"/>
      <c r="AZ558" s="65"/>
      <c r="BA558" s="65"/>
      <c r="BB558" s="65"/>
      <c r="BC558" s="65"/>
      <c r="BD558" s="65"/>
      <c r="BE558" s="65"/>
      <c r="BF558" s="65"/>
      <c r="BG558" s="65"/>
      <c r="BH558" s="65"/>
      <c r="BI558" s="65"/>
      <c r="BJ558" s="65"/>
      <c r="BK558" s="65">
        <v>0</v>
      </c>
      <c r="BL558" s="65">
        <v>0</v>
      </c>
      <c r="BM558" s="65">
        <v>0</v>
      </c>
      <c r="BN558" s="65">
        <f t="shared" si="2865"/>
        <v>0</v>
      </c>
      <c r="BO558" s="67">
        <f t="shared" si="2866"/>
        <v>0</v>
      </c>
      <c r="BP558" s="65">
        <f t="shared" si="2867"/>
        <v>0</v>
      </c>
      <c r="BQ558" s="65">
        <f t="shared" si="2868"/>
        <v>0</v>
      </c>
      <c r="BR558" s="65">
        <f t="shared" si="2869"/>
        <v>0</v>
      </c>
      <c r="BS558" s="65">
        <f t="shared" si="2870"/>
        <v>0</v>
      </c>
      <c r="BT558" s="65">
        <f t="shared" si="2871"/>
        <v>0</v>
      </c>
      <c r="BU558" s="65">
        <f t="shared" si="2872"/>
        <v>0</v>
      </c>
      <c r="BV558" s="65">
        <f t="shared" si="2873"/>
        <v>0</v>
      </c>
      <c r="BW558" s="65">
        <f t="shared" si="2874"/>
        <v>0</v>
      </c>
      <c r="BX558" s="6"/>
      <c r="BY558" s="6"/>
      <c r="BZ558" s="6"/>
      <c r="CA558" s="6"/>
      <c r="CB558" s="6"/>
      <c r="CC558" s="6"/>
      <c r="CD558" s="6"/>
      <c r="CE558" s="6"/>
      <c r="CF558" s="6"/>
      <c r="CG558" s="6"/>
    </row>
    <row r="559" spans="1:85" ht="15.75" customHeight="1">
      <c r="A559" s="34"/>
      <c r="B559" s="35"/>
      <c r="C559" s="36"/>
      <c r="D559" s="37" t="s">
        <v>79</v>
      </c>
      <c r="E559" s="38">
        <f t="shared" ref="E559:H559" si="2878">E560+E563</f>
        <v>0</v>
      </c>
      <c r="F559" s="38">
        <f t="shared" si="2878"/>
        <v>0</v>
      </c>
      <c r="G559" s="38">
        <f t="shared" si="2878"/>
        <v>0</v>
      </c>
      <c r="H559" s="38">
        <f t="shared" si="2878"/>
        <v>130000</v>
      </c>
      <c r="I559" s="39">
        <f t="shared" ref="I559:I578" si="2879">IF(G559&gt;0,K559/G559,0)</f>
        <v>0</v>
      </c>
      <c r="J559" s="39">
        <f t="shared" si="2705"/>
        <v>0</v>
      </c>
      <c r="K559" s="38">
        <f t="shared" ref="K559:W559" si="2880">K560+K563</f>
        <v>0</v>
      </c>
      <c r="L559" s="38">
        <f t="shared" si="2880"/>
        <v>0</v>
      </c>
      <c r="M559" s="38">
        <f t="shared" si="2880"/>
        <v>0</v>
      </c>
      <c r="N559" s="38">
        <f t="shared" si="2880"/>
        <v>0</v>
      </c>
      <c r="O559" s="38">
        <f t="shared" si="2880"/>
        <v>0</v>
      </c>
      <c r="P559" s="38">
        <f t="shared" si="2880"/>
        <v>0</v>
      </c>
      <c r="Q559" s="38">
        <f t="shared" si="2880"/>
        <v>0</v>
      </c>
      <c r="R559" s="38">
        <f t="shared" si="2880"/>
        <v>0</v>
      </c>
      <c r="S559" s="38">
        <f t="shared" si="2880"/>
        <v>0</v>
      </c>
      <c r="T559" s="38">
        <f t="shared" si="2880"/>
        <v>0</v>
      </c>
      <c r="U559" s="38">
        <f t="shared" si="2880"/>
        <v>0</v>
      </c>
      <c r="V559" s="38">
        <f t="shared" si="2880"/>
        <v>0</v>
      </c>
      <c r="W559" s="38">
        <f t="shared" si="2880"/>
        <v>0</v>
      </c>
      <c r="X559" s="40">
        <f t="shared" ref="X559:Y559" si="2881">IF(O559&gt;0,O559/K559,0)</f>
        <v>0</v>
      </c>
      <c r="Y559" s="40">
        <f t="shared" si="2881"/>
        <v>0</v>
      </c>
      <c r="Z559" s="40">
        <f t="shared" si="2708"/>
        <v>0</v>
      </c>
      <c r="AA559" s="38">
        <f t="shared" ref="AA559:BW559" si="2882">AA560+AA563</f>
        <v>0</v>
      </c>
      <c r="AB559" s="38">
        <f t="shared" si="2882"/>
        <v>0</v>
      </c>
      <c r="AC559" s="38">
        <f t="shared" si="2882"/>
        <v>0</v>
      </c>
      <c r="AD559" s="38">
        <f t="shared" si="2882"/>
        <v>0</v>
      </c>
      <c r="AE559" s="38">
        <f t="shared" si="2882"/>
        <v>0</v>
      </c>
      <c r="AF559" s="38">
        <f t="shared" si="2882"/>
        <v>0</v>
      </c>
      <c r="AG559" s="38">
        <f t="shared" si="2882"/>
        <v>0</v>
      </c>
      <c r="AH559" s="38">
        <f t="shared" si="2882"/>
        <v>0</v>
      </c>
      <c r="AI559" s="38">
        <f t="shared" si="2882"/>
        <v>0</v>
      </c>
      <c r="AJ559" s="38">
        <f t="shared" si="2882"/>
        <v>0</v>
      </c>
      <c r="AK559" s="38">
        <f t="shared" si="2882"/>
        <v>0</v>
      </c>
      <c r="AL559" s="38">
        <f t="shared" si="2882"/>
        <v>0</v>
      </c>
      <c r="AM559" s="38">
        <f t="shared" si="2882"/>
        <v>0</v>
      </c>
      <c r="AN559" s="38">
        <f t="shared" si="2882"/>
        <v>0</v>
      </c>
      <c r="AO559" s="38">
        <f t="shared" si="2882"/>
        <v>0</v>
      </c>
      <c r="AP559" s="38">
        <f t="shared" si="2882"/>
        <v>0</v>
      </c>
      <c r="AQ559" s="38">
        <f t="shared" si="2882"/>
        <v>0</v>
      </c>
      <c r="AR559" s="38">
        <f t="shared" si="2882"/>
        <v>0</v>
      </c>
      <c r="AS559" s="38">
        <f t="shared" si="2882"/>
        <v>0</v>
      </c>
      <c r="AT559" s="38">
        <f t="shared" si="2882"/>
        <v>0</v>
      </c>
      <c r="AU559" s="38">
        <f t="shared" si="2882"/>
        <v>0</v>
      </c>
      <c r="AV559" s="38">
        <f t="shared" si="2882"/>
        <v>0</v>
      </c>
      <c r="AW559" s="38">
        <f t="shared" si="2882"/>
        <v>0</v>
      </c>
      <c r="AX559" s="38">
        <f t="shared" si="2882"/>
        <v>0</v>
      </c>
      <c r="AY559" s="38">
        <f t="shared" si="2882"/>
        <v>0</v>
      </c>
      <c r="AZ559" s="38">
        <f t="shared" si="2882"/>
        <v>0</v>
      </c>
      <c r="BA559" s="38">
        <f t="shared" si="2882"/>
        <v>0</v>
      </c>
      <c r="BB559" s="38">
        <f t="shared" si="2882"/>
        <v>0</v>
      </c>
      <c r="BC559" s="38">
        <f t="shared" si="2882"/>
        <v>0</v>
      </c>
      <c r="BD559" s="38">
        <f t="shared" si="2882"/>
        <v>0</v>
      </c>
      <c r="BE559" s="38">
        <f t="shared" si="2882"/>
        <v>0</v>
      </c>
      <c r="BF559" s="38">
        <f t="shared" si="2882"/>
        <v>0</v>
      </c>
      <c r="BG559" s="38">
        <f t="shared" si="2882"/>
        <v>0</v>
      </c>
      <c r="BH559" s="38">
        <f t="shared" si="2882"/>
        <v>0</v>
      </c>
      <c r="BI559" s="38">
        <f t="shared" si="2882"/>
        <v>0</v>
      </c>
      <c r="BJ559" s="38">
        <f t="shared" si="2882"/>
        <v>0</v>
      </c>
      <c r="BK559" s="38">
        <f t="shared" si="2882"/>
        <v>0</v>
      </c>
      <c r="BL559" s="38">
        <f t="shared" si="2882"/>
        <v>0</v>
      </c>
      <c r="BM559" s="38">
        <f t="shared" si="2882"/>
        <v>0</v>
      </c>
      <c r="BN559" s="38">
        <f t="shared" si="2882"/>
        <v>0</v>
      </c>
      <c r="BO559" s="38">
        <f t="shared" si="2882"/>
        <v>0</v>
      </c>
      <c r="BP559" s="38">
        <f t="shared" si="2882"/>
        <v>0</v>
      </c>
      <c r="BQ559" s="38">
        <f t="shared" si="2882"/>
        <v>0</v>
      </c>
      <c r="BR559" s="38">
        <f t="shared" si="2882"/>
        <v>0</v>
      </c>
      <c r="BS559" s="38">
        <f t="shared" si="2882"/>
        <v>0</v>
      </c>
      <c r="BT559" s="38">
        <f t="shared" si="2882"/>
        <v>0</v>
      </c>
      <c r="BU559" s="38">
        <f t="shared" si="2882"/>
        <v>0</v>
      </c>
      <c r="BV559" s="38">
        <f t="shared" si="2882"/>
        <v>0</v>
      </c>
      <c r="BW559" s="38">
        <f t="shared" si="2882"/>
        <v>0</v>
      </c>
      <c r="BX559" s="6"/>
      <c r="BY559" s="6"/>
      <c r="BZ559" s="6"/>
      <c r="CA559" s="6"/>
      <c r="CB559" s="6"/>
      <c r="CC559" s="6"/>
      <c r="CD559" s="6"/>
      <c r="CE559" s="6"/>
      <c r="CF559" s="6"/>
      <c r="CG559" s="6"/>
    </row>
    <row r="560" spans="1:85" ht="15.75">
      <c r="A560" s="75"/>
      <c r="B560" s="76"/>
      <c r="C560" s="77"/>
      <c r="D560" s="78" t="s">
        <v>467</v>
      </c>
      <c r="E560" s="45">
        <f t="shared" ref="E560:H560" si="2883">SUM(E561:E562)</f>
        <v>0</v>
      </c>
      <c r="F560" s="45">
        <f t="shared" si="2883"/>
        <v>0</v>
      </c>
      <c r="G560" s="45">
        <f t="shared" si="2883"/>
        <v>0</v>
      </c>
      <c r="H560" s="45">
        <f t="shared" si="2883"/>
        <v>130000</v>
      </c>
      <c r="I560" s="47">
        <f t="shared" si="2879"/>
        <v>0</v>
      </c>
      <c r="J560" s="47">
        <f t="shared" si="2705"/>
        <v>0</v>
      </c>
      <c r="K560" s="45">
        <f t="shared" ref="K560:W560" si="2884">SUM(K561:K562)</f>
        <v>0</v>
      </c>
      <c r="L560" s="45">
        <f t="shared" si="2884"/>
        <v>0</v>
      </c>
      <c r="M560" s="45">
        <f t="shared" si="2884"/>
        <v>0</v>
      </c>
      <c r="N560" s="45">
        <f t="shared" si="2884"/>
        <v>0</v>
      </c>
      <c r="O560" s="45">
        <f t="shared" si="2884"/>
        <v>0</v>
      </c>
      <c r="P560" s="45">
        <f t="shared" si="2884"/>
        <v>0</v>
      </c>
      <c r="Q560" s="45">
        <f t="shared" si="2884"/>
        <v>0</v>
      </c>
      <c r="R560" s="45">
        <f t="shared" si="2884"/>
        <v>0</v>
      </c>
      <c r="S560" s="45">
        <f t="shared" si="2884"/>
        <v>0</v>
      </c>
      <c r="T560" s="45">
        <f t="shared" si="2884"/>
        <v>0</v>
      </c>
      <c r="U560" s="45">
        <f t="shared" si="2884"/>
        <v>0</v>
      </c>
      <c r="V560" s="45">
        <f t="shared" si="2884"/>
        <v>0</v>
      </c>
      <c r="W560" s="45">
        <f t="shared" si="2884"/>
        <v>0</v>
      </c>
      <c r="X560" s="50">
        <f t="shared" ref="X560:Y560" si="2885">IF(O560&gt;0,O560/K560,0)</f>
        <v>0</v>
      </c>
      <c r="Y560" s="50">
        <f t="shared" si="2885"/>
        <v>0</v>
      </c>
      <c r="Z560" s="50">
        <f t="shared" si="2708"/>
        <v>0</v>
      </c>
      <c r="AA560" s="45">
        <f t="shared" ref="AA560:BW560" si="2886">SUM(AA561:AA562)</f>
        <v>0</v>
      </c>
      <c r="AB560" s="45">
        <f t="shared" si="2886"/>
        <v>0</v>
      </c>
      <c r="AC560" s="45">
        <f t="shared" si="2886"/>
        <v>0</v>
      </c>
      <c r="AD560" s="45">
        <f t="shared" si="2886"/>
        <v>0</v>
      </c>
      <c r="AE560" s="45">
        <f t="shared" si="2886"/>
        <v>0</v>
      </c>
      <c r="AF560" s="45">
        <f t="shared" si="2886"/>
        <v>0</v>
      </c>
      <c r="AG560" s="45">
        <f t="shared" si="2886"/>
        <v>0</v>
      </c>
      <c r="AH560" s="45">
        <f t="shared" si="2886"/>
        <v>0</v>
      </c>
      <c r="AI560" s="45">
        <f t="shared" si="2886"/>
        <v>0</v>
      </c>
      <c r="AJ560" s="45">
        <f t="shared" si="2886"/>
        <v>0</v>
      </c>
      <c r="AK560" s="45">
        <f t="shared" si="2886"/>
        <v>0</v>
      </c>
      <c r="AL560" s="45">
        <f t="shared" si="2886"/>
        <v>0</v>
      </c>
      <c r="AM560" s="45">
        <f t="shared" si="2886"/>
        <v>0</v>
      </c>
      <c r="AN560" s="45">
        <f t="shared" si="2886"/>
        <v>0</v>
      </c>
      <c r="AO560" s="45">
        <f t="shared" si="2886"/>
        <v>0</v>
      </c>
      <c r="AP560" s="45">
        <f t="shared" si="2886"/>
        <v>0</v>
      </c>
      <c r="AQ560" s="45">
        <f t="shared" si="2886"/>
        <v>0</v>
      </c>
      <c r="AR560" s="45">
        <f t="shared" si="2886"/>
        <v>0</v>
      </c>
      <c r="AS560" s="45">
        <f t="shared" si="2886"/>
        <v>0</v>
      </c>
      <c r="AT560" s="45">
        <f t="shared" si="2886"/>
        <v>0</v>
      </c>
      <c r="AU560" s="45">
        <f t="shared" si="2886"/>
        <v>0</v>
      </c>
      <c r="AV560" s="45">
        <f t="shared" si="2886"/>
        <v>0</v>
      </c>
      <c r="AW560" s="45">
        <f t="shared" si="2886"/>
        <v>0</v>
      </c>
      <c r="AX560" s="45">
        <f t="shared" si="2886"/>
        <v>0</v>
      </c>
      <c r="AY560" s="45">
        <f t="shared" si="2886"/>
        <v>0</v>
      </c>
      <c r="AZ560" s="45">
        <f t="shared" si="2886"/>
        <v>0</v>
      </c>
      <c r="BA560" s="45">
        <f t="shared" si="2886"/>
        <v>0</v>
      </c>
      <c r="BB560" s="45">
        <f t="shared" si="2886"/>
        <v>0</v>
      </c>
      <c r="BC560" s="45">
        <f t="shared" si="2886"/>
        <v>0</v>
      </c>
      <c r="BD560" s="45">
        <f t="shared" si="2886"/>
        <v>0</v>
      </c>
      <c r="BE560" s="45">
        <f t="shared" si="2886"/>
        <v>0</v>
      </c>
      <c r="BF560" s="45">
        <f t="shared" si="2886"/>
        <v>0</v>
      </c>
      <c r="BG560" s="45">
        <f t="shared" si="2886"/>
        <v>0</v>
      </c>
      <c r="BH560" s="45">
        <f t="shared" si="2886"/>
        <v>0</v>
      </c>
      <c r="BI560" s="45">
        <f t="shared" si="2886"/>
        <v>0</v>
      </c>
      <c r="BJ560" s="45">
        <f t="shared" si="2886"/>
        <v>0</v>
      </c>
      <c r="BK560" s="45">
        <f t="shared" si="2886"/>
        <v>0</v>
      </c>
      <c r="BL560" s="45">
        <f t="shared" si="2886"/>
        <v>0</v>
      </c>
      <c r="BM560" s="45">
        <f t="shared" si="2886"/>
        <v>0</v>
      </c>
      <c r="BN560" s="45">
        <f t="shared" si="2886"/>
        <v>0</v>
      </c>
      <c r="BO560" s="45">
        <f t="shared" si="2886"/>
        <v>0</v>
      </c>
      <c r="BP560" s="45">
        <f t="shared" si="2886"/>
        <v>0</v>
      </c>
      <c r="BQ560" s="45">
        <f t="shared" si="2886"/>
        <v>0</v>
      </c>
      <c r="BR560" s="45">
        <f t="shared" si="2886"/>
        <v>0</v>
      </c>
      <c r="BS560" s="45">
        <f t="shared" si="2886"/>
        <v>0</v>
      </c>
      <c r="BT560" s="45">
        <f t="shared" si="2886"/>
        <v>0</v>
      </c>
      <c r="BU560" s="45">
        <f t="shared" si="2886"/>
        <v>0</v>
      </c>
      <c r="BV560" s="45">
        <f t="shared" si="2886"/>
        <v>0</v>
      </c>
      <c r="BW560" s="45">
        <f t="shared" si="2886"/>
        <v>0</v>
      </c>
      <c r="BX560" s="51"/>
      <c r="BY560" s="51"/>
      <c r="BZ560" s="51"/>
      <c r="CA560" s="51"/>
      <c r="CB560" s="51"/>
      <c r="CC560" s="51"/>
      <c r="CD560" s="51"/>
      <c r="CE560" s="51"/>
      <c r="CF560" s="51"/>
      <c r="CG560" s="51"/>
    </row>
    <row r="561" spans="1:85" ht="15.75" customHeight="1">
      <c r="A561" s="103"/>
      <c r="B561" s="355"/>
      <c r="C561" s="104" t="s">
        <v>679</v>
      </c>
      <c r="D561" s="124" t="s">
        <v>680</v>
      </c>
      <c r="E561" s="57">
        <v>0</v>
      </c>
      <c r="F561" s="99">
        <v>0</v>
      </c>
      <c r="G561" s="58">
        <f t="shared" ref="G561:G562" si="2887">E561-F561</f>
        <v>0</v>
      </c>
      <c r="H561" s="56">
        <v>100000</v>
      </c>
      <c r="I561" s="59">
        <f t="shared" si="2879"/>
        <v>0</v>
      </c>
      <c r="J561" s="59">
        <f t="shared" si="2705"/>
        <v>0</v>
      </c>
      <c r="K561" s="74">
        <v>0</v>
      </c>
      <c r="L561" s="74">
        <v>0</v>
      </c>
      <c r="M561" s="74">
        <v>0</v>
      </c>
      <c r="N561" s="74">
        <v>0</v>
      </c>
      <c r="O561" s="61">
        <f t="shared" ref="O561:Q561" si="2888">AA561+AD561+AG561+AJ561+AM561+AP561+AS561+AV561+AY561+BB561+BE561+BH561</f>
        <v>0</v>
      </c>
      <c r="P561" s="61">
        <f t="shared" si="2888"/>
        <v>0</v>
      </c>
      <c r="Q561" s="61">
        <f t="shared" si="2888"/>
        <v>0</v>
      </c>
      <c r="R561" s="61">
        <f t="shared" ref="R561:T561" si="2889">IF(BK561=0,SUM(AA561+AD561+AG561+AJ561+AM561+AP561+AS561+AV561+AY561+BB561+BE561+BH561),BK561)</f>
        <v>0</v>
      </c>
      <c r="S561" s="61">
        <f t="shared" si="2889"/>
        <v>0</v>
      </c>
      <c r="T561" s="61">
        <f t="shared" si="2889"/>
        <v>0</v>
      </c>
      <c r="U561" s="208">
        <f t="shared" ref="U561:U562" si="2890">K561-O561</f>
        <v>0</v>
      </c>
      <c r="V561" s="63">
        <f t="shared" ref="V561:V562" si="2891">L561-M561-S561</f>
        <v>0</v>
      </c>
      <c r="W561" s="63">
        <f t="shared" ref="W561:W562" si="2892">N561-Q561</f>
        <v>0</v>
      </c>
      <c r="X561" s="64">
        <f t="shared" ref="X561:Y561" si="2893">IF(O561&gt;0,O561/K561,0)</f>
        <v>0</v>
      </c>
      <c r="Y561" s="64">
        <f t="shared" si="2893"/>
        <v>0</v>
      </c>
      <c r="Z561" s="64">
        <f t="shared" si="2708"/>
        <v>0</v>
      </c>
      <c r="AA561" s="65"/>
      <c r="AB561" s="65"/>
      <c r="AC561" s="65"/>
      <c r="AD561" s="65"/>
      <c r="AE561" s="66"/>
      <c r="AF561" s="66"/>
      <c r="AG561" s="66"/>
      <c r="AH561" s="66"/>
      <c r="AI561" s="65"/>
      <c r="AJ561" s="65"/>
      <c r="AK561" s="65"/>
      <c r="AL561" s="65"/>
      <c r="AM561" s="65"/>
      <c r="AN561" s="65"/>
      <c r="AO561" s="65"/>
      <c r="AP561" s="65"/>
      <c r="AQ561" s="65"/>
      <c r="AR561" s="65"/>
      <c r="AS561" s="65"/>
      <c r="AT561" s="65"/>
      <c r="AU561" s="65"/>
      <c r="AV561" s="65"/>
      <c r="AW561" s="65"/>
      <c r="AX561" s="65"/>
      <c r="AY561" s="65"/>
      <c r="AZ561" s="65"/>
      <c r="BA561" s="65"/>
      <c r="BB561" s="65"/>
      <c r="BC561" s="65"/>
      <c r="BD561" s="65"/>
      <c r="BE561" s="65"/>
      <c r="BF561" s="65"/>
      <c r="BG561" s="65"/>
      <c r="BH561" s="65"/>
      <c r="BI561" s="65"/>
      <c r="BJ561" s="65"/>
      <c r="BK561" s="65">
        <v>0</v>
      </c>
      <c r="BL561" s="65">
        <v>0</v>
      </c>
      <c r="BM561" s="65">
        <v>0</v>
      </c>
      <c r="BN561" s="65">
        <f t="shared" ref="BN561:BN562" si="2894">IF(O561-BK561&gt;0,O561-BK561,0)</f>
        <v>0</v>
      </c>
      <c r="BO561" s="67">
        <f t="shared" ref="BO561:BO562" si="2895">IF(Q561-BM561&gt;0,Q561-BM561,0)</f>
        <v>0</v>
      </c>
      <c r="BP561" s="65">
        <f t="shared" ref="BP561:BP562" si="2896">IF(BN561+BO561&gt;0,BN561+BO561,0)</f>
        <v>0</v>
      </c>
      <c r="BQ561" s="65">
        <f t="shared" ref="BQ561:BQ562" si="2897">IF(U561=0,0,U561)</f>
        <v>0</v>
      </c>
      <c r="BR561" s="65">
        <f t="shared" ref="BR561:BR562" si="2898">IF(W561=0,0,W561)</f>
        <v>0</v>
      </c>
      <c r="BS561" s="65">
        <f t="shared" ref="BS561:BS562" si="2899">IF(BQ561+BR561&gt;0,BQ561+BR561,0)</f>
        <v>0</v>
      </c>
      <c r="BT561" s="65">
        <f t="shared" ref="BT561:BT562" si="2900">IF(V561&gt;0,V561,0)</f>
        <v>0</v>
      </c>
      <c r="BU561" s="65">
        <f t="shared" ref="BU561:BU562" si="2901">IF(BP561=0,0,BP561)</f>
        <v>0</v>
      </c>
      <c r="BV561" s="65">
        <f t="shared" ref="BV561:BV562" si="2902">IF(BS561=0,0,BS561)</f>
        <v>0</v>
      </c>
      <c r="BW561" s="65">
        <f t="shared" ref="BW561:BW562" si="2903">IF(BP561+BT561+BV561&gt;0,BP561+BT561+BV561,0)</f>
        <v>0</v>
      </c>
      <c r="BX561" s="6"/>
      <c r="BY561" s="6"/>
      <c r="BZ561" s="6"/>
      <c r="CA561" s="6"/>
      <c r="CB561" s="6"/>
      <c r="CC561" s="6"/>
      <c r="CD561" s="6"/>
      <c r="CE561" s="6"/>
      <c r="CF561" s="6"/>
      <c r="CG561" s="6"/>
    </row>
    <row r="562" spans="1:85" ht="15.75" customHeight="1">
      <c r="A562" s="68"/>
      <c r="B562" s="69"/>
      <c r="C562" s="104" t="s">
        <v>679</v>
      </c>
      <c r="D562" s="124" t="s">
        <v>680</v>
      </c>
      <c r="E562" s="99">
        <v>0</v>
      </c>
      <c r="F562" s="99">
        <v>0</v>
      </c>
      <c r="G562" s="58">
        <f t="shared" si="2887"/>
        <v>0</v>
      </c>
      <c r="H562" s="56">
        <v>30000</v>
      </c>
      <c r="I562" s="59">
        <f t="shared" si="2879"/>
        <v>0</v>
      </c>
      <c r="J562" s="59">
        <f t="shared" si="2705"/>
        <v>0</v>
      </c>
      <c r="K562" s="74">
        <v>0</v>
      </c>
      <c r="L562" s="74">
        <v>0</v>
      </c>
      <c r="M562" s="74">
        <v>0</v>
      </c>
      <c r="N562" s="74">
        <v>0</v>
      </c>
      <c r="O562" s="61">
        <f t="shared" ref="O562:Q562" si="2904">AA562+AD562+AG562+AJ562+AM562+AP562+AS562+AV562+AY562+BB562+BE562+BH562</f>
        <v>0</v>
      </c>
      <c r="P562" s="61">
        <f t="shared" si="2904"/>
        <v>0</v>
      </c>
      <c r="Q562" s="61">
        <f t="shared" si="2904"/>
        <v>0</v>
      </c>
      <c r="R562" s="61">
        <f t="shared" ref="R562:T562" si="2905">IF(BK562=0,SUM(AA562+AD562+AG562+AJ562+AM562+AP562+AS562+AV562+AY562+BB562+BE562+BH562),BK562)</f>
        <v>0</v>
      </c>
      <c r="S562" s="61">
        <f t="shared" si="2905"/>
        <v>0</v>
      </c>
      <c r="T562" s="61">
        <f t="shared" si="2905"/>
        <v>0</v>
      </c>
      <c r="U562" s="63">
        <f t="shared" si="2890"/>
        <v>0</v>
      </c>
      <c r="V562" s="63">
        <f t="shared" si="2891"/>
        <v>0</v>
      </c>
      <c r="W562" s="63">
        <f t="shared" si="2892"/>
        <v>0</v>
      </c>
      <c r="X562" s="64">
        <f t="shared" ref="X562:Y562" si="2906">IF(O562&gt;0,O562/K562,0)</f>
        <v>0</v>
      </c>
      <c r="Y562" s="64">
        <f t="shared" si="2906"/>
        <v>0</v>
      </c>
      <c r="Z562" s="64">
        <f t="shared" si="2708"/>
        <v>0</v>
      </c>
      <c r="AA562" s="65"/>
      <c r="AB562" s="65"/>
      <c r="AC562" s="65"/>
      <c r="AD562" s="65"/>
      <c r="AE562" s="66"/>
      <c r="AF562" s="66"/>
      <c r="AG562" s="66"/>
      <c r="AH562" s="66"/>
      <c r="AI562" s="65"/>
      <c r="AJ562" s="65"/>
      <c r="AK562" s="65"/>
      <c r="AL562" s="65"/>
      <c r="AM562" s="65"/>
      <c r="AN562" s="65"/>
      <c r="AO562" s="65"/>
      <c r="AP562" s="65"/>
      <c r="AQ562" s="65"/>
      <c r="AR562" s="65"/>
      <c r="AS562" s="65"/>
      <c r="AT562" s="65"/>
      <c r="AU562" s="65"/>
      <c r="AV562" s="65"/>
      <c r="AW562" s="65"/>
      <c r="AX562" s="65"/>
      <c r="AY562" s="65"/>
      <c r="AZ562" s="65"/>
      <c r="BA562" s="65"/>
      <c r="BB562" s="65"/>
      <c r="BC562" s="65"/>
      <c r="BD562" s="65"/>
      <c r="BE562" s="65"/>
      <c r="BF562" s="65"/>
      <c r="BG562" s="65"/>
      <c r="BH562" s="65"/>
      <c r="BI562" s="65"/>
      <c r="BJ562" s="65"/>
      <c r="BK562" s="65">
        <v>0</v>
      </c>
      <c r="BL562" s="65">
        <v>0</v>
      </c>
      <c r="BM562" s="65">
        <v>0</v>
      </c>
      <c r="BN562" s="65">
        <f t="shared" si="2894"/>
        <v>0</v>
      </c>
      <c r="BO562" s="67">
        <f t="shared" si="2895"/>
        <v>0</v>
      </c>
      <c r="BP562" s="65">
        <f t="shared" si="2896"/>
        <v>0</v>
      </c>
      <c r="BQ562" s="65">
        <f t="shared" si="2897"/>
        <v>0</v>
      </c>
      <c r="BR562" s="65">
        <f t="shared" si="2898"/>
        <v>0</v>
      </c>
      <c r="BS562" s="65">
        <f t="shared" si="2899"/>
        <v>0</v>
      </c>
      <c r="BT562" s="65">
        <f t="shared" si="2900"/>
        <v>0</v>
      </c>
      <c r="BU562" s="65">
        <f t="shared" si="2901"/>
        <v>0</v>
      </c>
      <c r="BV562" s="65">
        <f t="shared" si="2902"/>
        <v>0</v>
      </c>
      <c r="BW562" s="65">
        <f t="shared" si="2903"/>
        <v>0</v>
      </c>
      <c r="BX562" s="6"/>
      <c r="BY562" s="6"/>
      <c r="BZ562" s="6"/>
      <c r="CA562" s="6"/>
      <c r="CB562" s="6"/>
      <c r="CC562" s="6"/>
      <c r="CD562" s="6"/>
      <c r="CE562" s="6"/>
      <c r="CF562" s="6"/>
      <c r="CG562" s="6"/>
    </row>
    <row r="563" spans="1:85" ht="15.75">
      <c r="A563" s="75"/>
      <c r="B563" s="76"/>
      <c r="C563" s="77"/>
      <c r="D563" s="280" t="s">
        <v>168</v>
      </c>
      <c r="E563" s="45">
        <f t="shared" ref="E563:H563" si="2907">E564</f>
        <v>0</v>
      </c>
      <c r="F563" s="45">
        <f t="shared" si="2907"/>
        <v>0</v>
      </c>
      <c r="G563" s="45">
        <f t="shared" si="2907"/>
        <v>0</v>
      </c>
      <c r="H563" s="45">
        <f t="shared" si="2907"/>
        <v>0</v>
      </c>
      <c r="I563" s="47">
        <f t="shared" si="2879"/>
        <v>0</v>
      </c>
      <c r="J563" s="47">
        <f t="shared" si="2705"/>
        <v>0</v>
      </c>
      <c r="K563" s="45">
        <f t="shared" ref="K563:W563" si="2908">K564</f>
        <v>0</v>
      </c>
      <c r="L563" s="45">
        <f t="shared" si="2908"/>
        <v>0</v>
      </c>
      <c r="M563" s="45">
        <f t="shared" si="2908"/>
        <v>0</v>
      </c>
      <c r="N563" s="45">
        <f t="shared" si="2908"/>
        <v>0</v>
      </c>
      <c r="O563" s="45">
        <f t="shared" si="2908"/>
        <v>0</v>
      </c>
      <c r="P563" s="45">
        <f t="shared" si="2908"/>
        <v>0</v>
      </c>
      <c r="Q563" s="45">
        <f t="shared" si="2908"/>
        <v>0</v>
      </c>
      <c r="R563" s="45">
        <f t="shared" si="2908"/>
        <v>0</v>
      </c>
      <c r="S563" s="45">
        <f t="shared" si="2908"/>
        <v>0</v>
      </c>
      <c r="T563" s="45">
        <f t="shared" si="2908"/>
        <v>0</v>
      </c>
      <c r="U563" s="45">
        <f t="shared" si="2908"/>
        <v>0</v>
      </c>
      <c r="V563" s="45">
        <f t="shared" si="2908"/>
        <v>0</v>
      </c>
      <c r="W563" s="45">
        <f t="shared" si="2908"/>
        <v>0</v>
      </c>
      <c r="X563" s="50">
        <f t="shared" ref="X563:Y563" si="2909">IF(O563&gt;0,O563/K563,0)</f>
        <v>0</v>
      </c>
      <c r="Y563" s="50">
        <f t="shared" si="2909"/>
        <v>0</v>
      </c>
      <c r="Z563" s="50">
        <f t="shared" si="2708"/>
        <v>0</v>
      </c>
      <c r="AA563" s="45">
        <f t="shared" ref="AA563:BW563" si="2910">AA564</f>
        <v>0</v>
      </c>
      <c r="AB563" s="45">
        <f t="shared" si="2910"/>
        <v>0</v>
      </c>
      <c r="AC563" s="45">
        <f t="shared" si="2910"/>
        <v>0</v>
      </c>
      <c r="AD563" s="45">
        <f t="shared" si="2910"/>
        <v>0</v>
      </c>
      <c r="AE563" s="45">
        <f t="shared" si="2910"/>
        <v>0</v>
      </c>
      <c r="AF563" s="45">
        <f t="shared" si="2910"/>
        <v>0</v>
      </c>
      <c r="AG563" s="45">
        <f t="shared" si="2910"/>
        <v>0</v>
      </c>
      <c r="AH563" s="45">
        <f t="shared" si="2910"/>
        <v>0</v>
      </c>
      <c r="AI563" s="45">
        <f t="shared" si="2910"/>
        <v>0</v>
      </c>
      <c r="AJ563" s="45">
        <f t="shared" si="2910"/>
        <v>0</v>
      </c>
      <c r="AK563" s="45">
        <f t="shared" si="2910"/>
        <v>0</v>
      </c>
      <c r="AL563" s="45">
        <f t="shared" si="2910"/>
        <v>0</v>
      </c>
      <c r="AM563" s="45">
        <f t="shared" si="2910"/>
        <v>0</v>
      </c>
      <c r="AN563" s="45">
        <f t="shared" si="2910"/>
        <v>0</v>
      </c>
      <c r="AO563" s="45">
        <f t="shared" si="2910"/>
        <v>0</v>
      </c>
      <c r="AP563" s="45">
        <f t="shared" si="2910"/>
        <v>0</v>
      </c>
      <c r="AQ563" s="45">
        <f t="shared" si="2910"/>
        <v>0</v>
      </c>
      <c r="AR563" s="45">
        <f t="shared" si="2910"/>
        <v>0</v>
      </c>
      <c r="AS563" s="45">
        <f t="shared" si="2910"/>
        <v>0</v>
      </c>
      <c r="AT563" s="45">
        <f t="shared" si="2910"/>
        <v>0</v>
      </c>
      <c r="AU563" s="45">
        <f t="shared" si="2910"/>
        <v>0</v>
      </c>
      <c r="AV563" s="45">
        <f t="shared" si="2910"/>
        <v>0</v>
      </c>
      <c r="AW563" s="45">
        <f t="shared" si="2910"/>
        <v>0</v>
      </c>
      <c r="AX563" s="45">
        <f t="shared" si="2910"/>
        <v>0</v>
      </c>
      <c r="AY563" s="45">
        <f t="shared" si="2910"/>
        <v>0</v>
      </c>
      <c r="AZ563" s="45">
        <f t="shared" si="2910"/>
        <v>0</v>
      </c>
      <c r="BA563" s="45">
        <f t="shared" si="2910"/>
        <v>0</v>
      </c>
      <c r="BB563" s="45">
        <f t="shared" si="2910"/>
        <v>0</v>
      </c>
      <c r="BC563" s="45">
        <f t="shared" si="2910"/>
        <v>0</v>
      </c>
      <c r="BD563" s="45">
        <f t="shared" si="2910"/>
        <v>0</v>
      </c>
      <c r="BE563" s="45">
        <f t="shared" si="2910"/>
        <v>0</v>
      </c>
      <c r="BF563" s="45">
        <f t="shared" si="2910"/>
        <v>0</v>
      </c>
      <c r="BG563" s="45">
        <f t="shared" si="2910"/>
        <v>0</v>
      </c>
      <c r="BH563" s="45">
        <f t="shared" si="2910"/>
        <v>0</v>
      </c>
      <c r="BI563" s="45">
        <f t="shared" si="2910"/>
        <v>0</v>
      </c>
      <c r="BJ563" s="45">
        <f t="shared" si="2910"/>
        <v>0</v>
      </c>
      <c r="BK563" s="45">
        <f t="shared" si="2910"/>
        <v>0</v>
      </c>
      <c r="BL563" s="45">
        <f t="shared" si="2910"/>
        <v>0</v>
      </c>
      <c r="BM563" s="45">
        <f t="shared" si="2910"/>
        <v>0</v>
      </c>
      <c r="BN563" s="45">
        <f t="shared" si="2910"/>
        <v>0</v>
      </c>
      <c r="BO563" s="45">
        <f t="shared" si="2910"/>
        <v>0</v>
      </c>
      <c r="BP563" s="45">
        <f t="shared" si="2910"/>
        <v>0</v>
      </c>
      <c r="BQ563" s="45">
        <f t="shared" si="2910"/>
        <v>0</v>
      </c>
      <c r="BR563" s="45">
        <f t="shared" si="2910"/>
        <v>0</v>
      </c>
      <c r="BS563" s="45">
        <f t="shared" si="2910"/>
        <v>0</v>
      </c>
      <c r="BT563" s="45">
        <f t="shared" si="2910"/>
        <v>0</v>
      </c>
      <c r="BU563" s="45">
        <f t="shared" si="2910"/>
        <v>0</v>
      </c>
      <c r="BV563" s="45">
        <f t="shared" si="2910"/>
        <v>0</v>
      </c>
      <c r="BW563" s="45">
        <f t="shared" si="2910"/>
        <v>0</v>
      </c>
      <c r="BX563" s="51"/>
      <c r="BY563" s="51"/>
      <c r="BZ563" s="51"/>
      <c r="CA563" s="51"/>
      <c r="CB563" s="51"/>
      <c r="CC563" s="51"/>
      <c r="CD563" s="51"/>
      <c r="CE563" s="51"/>
      <c r="CF563" s="51"/>
      <c r="CG563" s="51"/>
    </row>
    <row r="564" spans="1:85" ht="15.75" customHeight="1">
      <c r="A564" s="68"/>
      <c r="B564" s="103"/>
      <c r="C564" s="68" t="s">
        <v>456</v>
      </c>
      <c r="D564" s="105" t="s">
        <v>681</v>
      </c>
      <c r="E564" s="99">
        <v>0</v>
      </c>
      <c r="F564" s="99">
        <v>0</v>
      </c>
      <c r="G564" s="58">
        <f>E564-F564</f>
        <v>0</v>
      </c>
      <c r="H564" s="57">
        <v>0</v>
      </c>
      <c r="I564" s="59">
        <f t="shared" si="2879"/>
        <v>0</v>
      </c>
      <c r="J564" s="59">
        <f t="shared" si="2705"/>
        <v>0</v>
      </c>
      <c r="K564" s="74">
        <v>0</v>
      </c>
      <c r="L564" s="74">
        <v>0</v>
      </c>
      <c r="M564" s="74">
        <v>0</v>
      </c>
      <c r="N564" s="74">
        <v>0</v>
      </c>
      <c r="O564" s="61">
        <f t="shared" ref="O564:Q564" si="2911">AA564+AD564+AG564+AJ564+AM564+AP564+AS564+AV564+AY564+BB564+BE564+BH564</f>
        <v>0</v>
      </c>
      <c r="P564" s="61">
        <f t="shared" si="2911"/>
        <v>0</v>
      </c>
      <c r="Q564" s="61">
        <f t="shared" si="2911"/>
        <v>0</v>
      </c>
      <c r="R564" s="61">
        <f t="shared" ref="R564:T564" si="2912">IF(BK564=0,SUM(AA564+AD564+AG564+AJ564+AM564+AP564+AS564+AV564+AY564+BB564+BE564+BH564),BK564)</f>
        <v>0</v>
      </c>
      <c r="S564" s="61">
        <f t="shared" si="2912"/>
        <v>0</v>
      </c>
      <c r="T564" s="61">
        <f t="shared" si="2912"/>
        <v>0</v>
      </c>
      <c r="U564" s="208">
        <f>K564-O564</f>
        <v>0</v>
      </c>
      <c r="V564" s="63">
        <f>L564-M564-S564</f>
        <v>0</v>
      </c>
      <c r="W564" s="208">
        <f>N564-Q564</f>
        <v>0</v>
      </c>
      <c r="X564" s="64">
        <f t="shared" ref="X564:Y564" si="2913">IF(O564&gt;0,O564/K564,0)</f>
        <v>0</v>
      </c>
      <c r="Y564" s="64">
        <f t="shared" si="2913"/>
        <v>0</v>
      </c>
      <c r="Z564" s="64">
        <f t="shared" si="2708"/>
        <v>0</v>
      </c>
      <c r="AA564" s="65"/>
      <c r="AB564" s="65"/>
      <c r="AC564" s="65"/>
      <c r="AD564" s="65"/>
      <c r="AE564" s="66"/>
      <c r="AF564" s="66"/>
      <c r="AG564" s="66"/>
      <c r="AH564" s="66"/>
      <c r="AI564" s="65"/>
      <c r="AJ564" s="65"/>
      <c r="AK564" s="65"/>
      <c r="AL564" s="65"/>
      <c r="AM564" s="65"/>
      <c r="AN564" s="65"/>
      <c r="AO564" s="65"/>
      <c r="AP564" s="65"/>
      <c r="AQ564" s="65"/>
      <c r="AR564" s="65"/>
      <c r="AS564" s="65"/>
      <c r="AT564" s="65"/>
      <c r="AU564" s="65"/>
      <c r="AV564" s="65"/>
      <c r="AW564" s="65"/>
      <c r="AX564" s="65"/>
      <c r="AY564" s="65"/>
      <c r="AZ564" s="65"/>
      <c r="BA564" s="65"/>
      <c r="BB564" s="65"/>
      <c r="BC564" s="65"/>
      <c r="BD564" s="65"/>
      <c r="BE564" s="65"/>
      <c r="BF564" s="65"/>
      <c r="BG564" s="65"/>
      <c r="BH564" s="65"/>
      <c r="BI564" s="65"/>
      <c r="BJ564" s="65"/>
      <c r="BK564" s="65">
        <v>0</v>
      </c>
      <c r="BL564" s="65">
        <v>0</v>
      </c>
      <c r="BM564" s="65">
        <v>0</v>
      </c>
      <c r="BN564" s="65">
        <f>IF(O564-BK564&gt;0,O564-BK564,0)</f>
        <v>0</v>
      </c>
      <c r="BO564" s="67">
        <f>IF(Q564-BM564&gt;0,Q564-BM564,0)</f>
        <v>0</v>
      </c>
      <c r="BP564" s="65">
        <f>IF(BN564+BO564&gt;0,BN564+BO564,0)</f>
        <v>0</v>
      </c>
      <c r="BQ564" s="65">
        <f>IF(U564=0,0,U564)</f>
        <v>0</v>
      </c>
      <c r="BR564" s="65">
        <f>IF(W564=0,0,W564)</f>
        <v>0</v>
      </c>
      <c r="BS564" s="65">
        <f>IF(BQ564+BR564&gt;0,BQ564+BR564,0)</f>
        <v>0</v>
      </c>
      <c r="BT564" s="65">
        <f>IF(V564&gt;0,V564,0)</f>
        <v>0</v>
      </c>
      <c r="BU564" s="65">
        <f>IF(BP564=0,0,BP564)</f>
        <v>0</v>
      </c>
      <c r="BV564" s="65">
        <f>IF(BS564=0,0,BS564)</f>
        <v>0</v>
      </c>
      <c r="BW564" s="65">
        <f>IF(BP564+BT564+BV564&gt;0,BP564+BT564+BV564,0)</f>
        <v>0</v>
      </c>
      <c r="BX564" s="6"/>
      <c r="BY564" s="6"/>
      <c r="BZ564" s="6"/>
      <c r="CA564" s="6"/>
      <c r="CB564" s="6"/>
      <c r="CC564" s="6"/>
      <c r="CD564" s="6"/>
      <c r="CE564" s="6"/>
      <c r="CF564" s="6"/>
      <c r="CG564" s="6"/>
    </row>
    <row r="565" spans="1:85" ht="15.75" customHeight="1">
      <c r="A565" s="337" t="s">
        <v>682</v>
      </c>
      <c r="B565" s="249"/>
      <c r="C565" s="250"/>
      <c r="D565" s="251" t="s">
        <v>683</v>
      </c>
      <c r="E565" s="38">
        <f t="shared" ref="E565:H565" si="2914">E566+E580+E605+E624</f>
        <v>194211.84</v>
      </c>
      <c r="F565" s="38">
        <f t="shared" si="2914"/>
        <v>0</v>
      </c>
      <c r="G565" s="38">
        <f t="shared" si="2914"/>
        <v>194211.84</v>
      </c>
      <c r="H565" s="38">
        <f t="shared" si="2914"/>
        <v>220000</v>
      </c>
      <c r="I565" s="39">
        <f t="shared" si="2879"/>
        <v>0.45812860843087633</v>
      </c>
      <c r="J565" s="39">
        <f t="shared" si="2705"/>
        <v>0.1645115972332068</v>
      </c>
      <c r="K565" s="38">
        <f t="shared" ref="K565:W565" si="2915">K566+K580+K605+K624</f>
        <v>88974</v>
      </c>
      <c r="L565" s="38">
        <f t="shared" si="2915"/>
        <v>1320</v>
      </c>
      <c r="M565" s="38">
        <f t="shared" si="2915"/>
        <v>0</v>
      </c>
      <c r="N565" s="38">
        <f t="shared" si="2915"/>
        <v>20936.599999999999</v>
      </c>
      <c r="O565" s="38">
        <f t="shared" si="2915"/>
        <v>31950.1</v>
      </c>
      <c r="P565" s="38">
        <f t="shared" si="2915"/>
        <v>1320</v>
      </c>
      <c r="Q565" s="38">
        <f t="shared" si="2915"/>
        <v>0</v>
      </c>
      <c r="R565" s="38">
        <f t="shared" si="2915"/>
        <v>31950.1</v>
      </c>
      <c r="S565" s="38">
        <f t="shared" si="2915"/>
        <v>1320</v>
      </c>
      <c r="T565" s="38">
        <f t="shared" si="2915"/>
        <v>0</v>
      </c>
      <c r="U565" s="38">
        <f t="shared" si="2915"/>
        <v>57023.9</v>
      </c>
      <c r="V565" s="38">
        <f t="shared" si="2915"/>
        <v>0</v>
      </c>
      <c r="W565" s="38">
        <f t="shared" si="2915"/>
        <v>20936.599999999999</v>
      </c>
      <c r="X565" s="40">
        <f t="shared" ref="X565:Y565" si="2916">IF(O565&gt;0,O565/K565,0)</f>
        <v>0.35909479173691189</v>
      </c>
      <c r="Y565" s="40">
        <f t="shared" si="2916"/>
        <v>1</v>
      </c>
      <c r="Z565" s="40">
        <f t="shared" si="2708"/>
        <v>0</v>
      </c>
      <c r="AA565" s="38">
        <f t="shared" ref="AA565:BW565" si="2917">AA566+AA580+AA605+AA624</f>
        <v>0</v>
      </c>
      <c r="AB565" s="38">
        <f t="shared" si="2917"/>
        <v>0</v>
      </c>
      <c r="AC565" s="38">
        <f t="shared" si="2917"/>
        <v>0</v>
      </c>
      <c r="AD565" s="38">
        <f t="shared" si="2917"/>
        <v>0</v>
      </c>
      <c r="AE565" s="38">
        <f t="shared" si="2917"/>
        <v>0</v>
      </c>
      <c r="AF565" s="38">
        <f t="shared" si="2917"/>
        <v>0</v>
      </c>
      <c r="AG565" s="38">
        <f t="shared" si="2917"/>
        <v>0</v>
      </c>
      <c r="AH565" s="38">
        <f t="shared" si="2917"/>
        <v>0</v>
      </c>
      <c r="AI565" s="38">
        <f t="shared" si="2917"/>
        <v>0</v>
      </c>
      <c r="AJ565" s="38">
        <f t="shared" si="2917"/>
        <v>1320</v>
      </c>
      <c r="AK565" s="38">
        <f t="shared" si="2917"/>
        <v>1320</v>
      </c>
      <c r="AL565" s="38">
        <f t="shared" si="2917"/>
        <v>0</v>
      </c>
      <c r="AM565" s="38">
        <f t="shared" si="2917"/>
        <v>5280</v>
      </c>
      <c r="AN565" s="38">
        <f t="shared" si="2917"/>
        <v>0</v>
      </c>
      <c r="AO565" s="38">
        <f t="shared" si="2917"/>
        <v>0</v>
      </c>
      <c r="AP565" s="38">
        <f t="shared" si="2917"/>
        <v>25300</v>
      </c>
      <c r="AQ565" s="38">
        <f t="shared" si="2917"/>
        <v>0</v>
      </c>
      <c r="AR565" s="38">
        <f t="shared" si="2917"/>
        <v>0</v>
      </c>
      <c r="AS565" s="38">
        <f t="shared" si="2917"/>
        <v>0</v>
      </c>
      <c r="AT565" s="38">
        <f t="shared" si="2917"/>
        <v>0</v>
      </c>
      <c r="AU565" s="38">
        <f t="shared" si="2917"/>
        <v>0</v>
      </c>
      <c r="AV565" s="38">
        <f t="shared" si="2917"/>
        <v>0</v>
      </c>
      <c r="AW565" s="38">
        <f t="shared" si="2917"/>
        <v>0</v>
      </c>
      <c r="AX565" s="38">
        <f t="shared" si="2917"/>
        <v>0</v>
      </c>
      <c r="AY565" s="38">
        <f t="shared" si="2917"/>
        <v>0</v>
      </c>
      <c r="AZ565" s="38">
        <f t="shared" si="2917"/>
        <v>0</v>
      </c>
      <c r="BA565" s="38">
        <f t="shared" si="2917"/>
        <v>0</v>
      </c>
      <c r="BB565" s="38">
        <f t="shared" si="2917"/>
        <v>0</v>
      </c>
      <c r="BC565" s="38">
        <f t="shared" si="2917"/>
        <v>0</v>
      </c>
      <c r="BD565" s="38">
        <f t="shared" si="2917"/>
        <v>0</v>
      </c>
      <c r="BE565" s="38">
        <f t="shared" si="2917"/>
        <v>0</v>
      </c>
      <c r="BF565" s="38">
        <f t="shared" si="2917"/>
        <v>0</v>
      </c>
      <c r="BG565" s="38">
        <f t="shared" si="2917"/>
        <v>0</v>
      </c>
      <c r="BH565" s="38">
        <f t="shared" si="2917"/>
        <v>0</v>
      </c>
      <c r="BI565" s="38">
        <f t="shared" si="2917"/>
        <v>0</v>
      </c>
      <c r="BJ565" s="38">
        <f t="shared" si="2917"/>
        <v>0</v>
      </c>
      <c r="BK565" s="38">
        <f t="shared" si="2917"/>
        <v>0</v>
      </c>
      <c r="BL565" s="38">
        <f t="shared" si="2917"/>
        <v>0</v>
      </c>
      <c r="BM565" s="38">
        <f t="shared" si="2917"/>
        <v>0</v>
      </c>
      <c r="BN565" s="38">
        <f t="shared" si="2917"/>
        <v>31900</v>
      </c>
      <c r="BO565" s="38">
        <f t="shared" si="2917"/>
        <v>0</v>
      </c>
      <c r="BP565" s="38">
        <f t="shared" si="2917"/>
        <v>31900</v>
      </c>
      <c r="BQ565" s="38">
        <f t="shared" si="2917"/>
        <v>55759.9</v>
      </c>
      <c r="BR565" s="38">
        <f t="shared" si="2917"/>
        <v>20936.599999999999</v>
      </c>
      <c r="BS565" s="38">
        <f t="shared" si="2917"/>
        <v>76696.5</v>
      </c>
      <c r="BT565" s="38">
        <f t="shared" si="2917"/>
        <v>0</v>
      </c>
      <c r="BU565" s="38">
        <f t="shared" si="2917"/>
        <v>31900</v>
      </c>
      <c r="BV565" s="38">
        <f t="shared" si="2917"/>
        <v>76696.5</v>
      </c>
      <c r="BW565" s="38">
        <f t="shared" si="2917"/>
        <v>108596.5</v>
      </c>
      <c r="BX565" s="6"/>
      <c r="BY565" s="6"/>
      <c r="BZ565" s="6"/>
      <c r="CA565" s="6"/>
      <c r="CB565" s="6"/>
      <c r="CC565" s="6"/>
      <c r="CD565" s="6"/>
      <c r="CE565" s="6"/>
      <c r="CF565" s="6"/>
      <c r="CG565" s="6"/>
    </row>
    <row r="566" spans="1:85" ht="15.75" customHeight="1">
      <c r="A566" s="325"/>
      <c r="B566" s="326"/>
      <c r="C566" s="327"/>
      <c r="D566" s="357" t="s">
        <v>684</v>
      </c>
      <c r="E566" s="329">
        <f t="shared" ref="E566:H566" si="2918">E567+E570+E577</f>
        <v>58211.839999999997</v>
      </c>
      <c r="F566" s="329">
        <f t="shared" si="2918"/>
        <v>0</v>
      </c>
      <c r="G566" s="329">
        <f t="shared" si="2918"/>
        <v>58211.839999999997</v>
      </c>
      <c r="H566" s="329">
        <f t="shared" si="2918"/>
        <v>0</v>
      </c>
      <c r="I566" s="330">
        <f t="shared" si="2879"/>
        <v>1.3141656405294868</v>
      </c>
      <c r="J566" s="330">
        <f t="shared" si="2705"/>
        <v>0.37792998812612694</v>
      </c>
      <c r="K566" s="329">
        <f t="shared" ref="K566:W566" si="2919">K567+K570+K577</f>
        <v>76500</v>
      </c>
      <c r="L566" s="329">
        <f t="shared" si="2919"/>
        <v>0</v>
      </c>
      <c r="M566" s="329">
        <f t="shared" si="2919"/>
        <v>0</v>
      </c>
      <c r="N566" s="329">
        <f t="shared" si="2919"/>
        <v>0</v>
      </c>
      <c r="O566" s="329">
        <f t="shared" si="2919"/>
        <v>22000</v>
      </c>
      <c r="P566" s="329">
        <f t="shared" si="2919"/>
        <v>0</v>
      </c>
      <c r="Q566" s="329">
        <f t="shared" si="2919"/>
        <v>0</v>
      </c>
      <c r="R566" s="329">
        <f t="shared" si="2919"/>
        <v>22000</v>
      </c>
      <c r="S566" s="329">
        <f t="shared" si="2919"/>
        <v>0</v>
      </c>
      <c r="T566" s="329">
        <f t="shared" si="2919"/>
        <v>0</v>
      </c>
      <c r="U566" s="329">
        <f t="shared" si="2919"/>
        <v>54500</v>
      </c>
      <c r="V566" s="329">
        <f t="shared" si="2919"/>
        <v>0</v>
      </c>
      <c r="W566" s="329">
        <f t="shared" si="2919"/>
        <v>0</v>
      </c>
      <c r="X566" s="339">
        <f t="shared" ref="X566:Y566" si="2920">IF(O566&gt;0,O566/K566,0)</f>
        <v>0.28758169934640521</v>
      </c>
      <c r="Y566" s="339">
        <f t="shared" si="2920"/>
        <v>0</v>
      </c>
      <c r="Z566" s="339">
        <f t="shared" si="2708"/>
        <v>0</v>
      </c>
      <c r="AA566" s="329">
        <f t="shared" ref="AA566:BW566" si="2921">AA567+AA570+AA577</f>
        <v>0</v>
      </c>
      <c r="AB566" s="329">
        <f t="shared" si="2921"/>
        <v>0</v>
      </c>
      <c r="AC566" s="329">
        <f t="shared" si="2921"/>
        <v>0</v>
      </c>
      <c r="AD566" s="329">
        <f t="shared" si="2921"/>
        <v>0</v>
      </c>
      <c r="AE566" s="329">
        <f t="shared" si="2921"/>
        <v>0</v>
      </c>
      <c r="AF566" s="329">
        <f t="shared" si="2921"/>
        <v>0</v>
      </c>
      <c r="AG566" s="329">
        <f t="shared" si="2921"/>
        <v>0</v>
      </c>
      <c r="AH566" s="329">
        <f t="shared" si="2921"/>
        <v>0</v>
      </c>
      <c r="AI566" s="329">
        <f t="shared" si="2921"/>
        <v>0</v>
      </c>
      <c r="AJ566" s="329">
        <f t="shared" si="2921"/>
        <v>0</v>
      </c>
      <c r="AK566" s="329">
        <f t="shared" si="2921"/>
        <v>0</v>
      </c>
      <c r="AL566" s="329">
        <f t="shared" si="2921"/>
        <v>0</v>
      </c>
      <c r="AM566" s="329">
        <f t="shared" si="2921"/>
        <v>0</v>
      </c>
      <c r="AN566" s="329">
        <f t="shared" si="2921"/>
        <v>0</v>
      </c>
      <c r="AO566" s="329">
        <f t="shared" si="2921"/>
        <v>0</v>
      </c>
      <c r="AP566" s="329">
        <f t="shared" si="2921"/>
        <v>22000</v>
      </c>
      <c r="AQ566" s="329">
        <f t="shared" si="2921"/>
        <v>0</v>
      </c>
      <c r="AR566" s="329">
        <f t="shared" si="2921"/>
        <v>0</v>
      </c>
      <c r="AS566" s="329">
        <f t="shared" si="2921"/>
        <v>0</v>
      </c>
      <c r="AT566" s="329">
        <f t="shared" si="2921"/>
        <v>0</v>
      </c>
      <c r="AU566" s="329">
        <f t="shared" si="2921"/>
        <v>0</v>
      </c>
      <c r="AV566" s="329">
        <f t="shared" si="2921"/>
        <v>0</v>
      </c>
      <c r="AW566" s="329">
        <f t="shared" si="2921"/>
        <v>0</v>
      </c>
      <c r="AX566" s="329">
        <f t="shared" si="2921"/>
        <v>0</v>
      </c>
      <c r="AY566" s="329">
        <f t="shared" si="2921"/>
        <v>0</v>
      </c>
      <c r="AZ566" s="329">
        <f t="shared" si="2921"/>
        <v>0</v>
      </c>
      <c r="BA566" s="329">
        <f t="shared" si="2921"/>
        <v>0</v>
      </c>
      <c r="BB566" s="329">
        <f t="shared" si="2921"/>
        <v>0</v>
      </c>
      <c r="BC566" s="329">
        <f t="shared" si="2921"/>
        <v>0</v>
      </c>
      <c r="BD566" s="329">
        <f t="shared" si="2921"/>
        <v>0</v>
      </c>
      <c r="BE566" s="329">
        <f t="shared" si="2921"/>
        <v>0</v>
      </c>
      <c r="BF566" s="329">
        <f t="shared" si="2921"/>
        <v>0</v>
      </c>
      <c r="BG566" s="329">
        <f t="shared" si="2921"/>
        <v>0</v>
      </c>
      <c r="BH566" s="329">
        <f t="shared" si="2921"/>
        <v>0</v>
      </c>
      <c r="BI566" s="329">
        <f t="shared" si="2921"/>
        <v>0</v>
      </c>
      <c r="BJ566" s="329">
        <f t="shared" si="2921"/>
        <v>0</v>
      </c>
      <c r="BK566" s="329">
        <f t="shared" si="2921"/>
        <v>0</v>
      </c>
      <c r="BL566" s="329">
        <f t="shared" si="2921"/>
        <v>0</v>
      </c>
      <c r="BM566" s="329">
        <f t="shared" si="2921"/>
        <v>0</v>
      </c>
      <c r="BN566" s="329">
        <f t="shared" si="2921"/>
        <v>22000</v>
      </c>
      <c r="BO566" s="329">
        <f t="shared" si="2921"/>
        <v>0</v>
      </c>
      <c r="BP566" s="329">
        <f t="shared" si="2921"/>
        <v>22000</v>
      </c>
      <c r="BQ566" s="329">
        <f t="shared" si="2921"/>
        <v>54500</v>
      </c>
      <c r="BR566" s="329">
        <f t="shared" si="2921"/>
        <v>0</v>
      </c>
      <c r="BS566" s="329">
        <f t="shared" si="2921"/>
        <v>54500</v>
      </c>
      <c r="BT566" s="329">
        <f t="shared" si="2921"/>
        <v>0</v>
      </c>
      <c r="BU566" s="329">
        <f t="shared" si="2921"/>
        <v>22000</v>
      </c>
      <c r="BV566" s="329">
        <f t="shared" si="2921"/>
        <v>54500</v>
      </c>
      <c r="BW566" s="329">
        <f t="shared" si="2921"/>
        <v>76500</v>
      </c>
      <c r="BX566" s="6"/>
      <c r="BY566" s="6"/>
      <c r="BZ566" s="6"/>
      <c r="CA566" s="6"/>
      <c r="CB566" s="6"/>
      <c r="CC566" s="6"/>
      <c r="CD566" s="6"/>
      <c r="CE566" s="6"/>
      <c r="CF566" s="6"/>
      <c r="CG566" s="6"/>
    </row>
    <row r="567" spans="1:85" ht="15.75">
      <c r="A567" s="317"/>
      <c r="B567" s="318"/>
      <c r="C567" s="319"/>
      <c r="D567" s="44" t="s">
        <v>67</v>
      </c>
      <c r="E567" s="269">
        <f t="shared" ref="E567:H567" si="2922">SUM(E568:E569)</f>
        <v>7111.84</v>
      </c>
      <c r="F567" s="365">
        <f t="shared" si="2922"/>
        <v>0</v>
      </c>
      <c r="G567" s="46">
        <f t="shared" si="2922"/>
        <v>7111.84</v>
      </c>
      <c r="H567" s="365">
        <f t="shared" si="2922"/>
        <v>0</v>
      </c>
      <c r="I567" s="270">
        <f t="shared" si="2879"/>
        <v>0</v>
      </c>
      <c r="J567" s="270">
        <f t="shared" si="2705"/>
        <v>0</v>
      </c>
      <c r="K567" s="365">
        <f t="shared" ref="K567:W567" si="2923">SUM(K568:K569)</f>
        <v>0</v>
      </c>
      <c r="L567" s="365">
        <f t="shared" si="2923"/>
        <v>0</v>
      </c>
      <c r="M567" s="365">
        <f t="shared" si="2923"/>
        <v>0</v>
      </c>
      <c r="N567" s="365">
        <f t="shared" si="2923"/>
        <v>0</v>
      </c>
      <c r="O567" s="365">
        <f t="shared" si="2923"/>
        <v>0</v>
      </c>
      <c r="P567" s="365">
        <f t="shared" si="2923"/>
        <v>0</v>
      </c>
      <c r="Q567" s="365">
        <f t="shared" si="2923"/>
        <v>0</v>
      </c>
      <c r="R567" s="365">
        <f t="shared" si="2923"/>
        <v>0</v>
      </c>
      <c r="S567" s="365">
        <f t="shared" si="2923"/>
        <v>0</v>
      </c>
      <c r="T567" s="365">
        <f t="shared" si="2923"/>
        <v>0</v>
      </c>
      <c r="U567" s="365">
        <f t="shared" si="2923"/>
        <v>0</v>
      </c>
      <c r="V567" s="365">
        <f t="shared" si="2923"/>
        <v>0</v>
      </c>
      <c r="W567" s="365">
        <f t="shared" si="2923"/>
        <v>0</v>
      </c>
      <c r="X567" s="271">
        <f t="shared" ref="X567:Y567" si="2924">IF(O567&gt;0,O567/K567,0)</f>
        <v>0</v>
      </c>
      <c r="Y567" s="271">
        <f t="shared" si="2924"/>
        <v>0</v>
      </c>
      <c r="Z567" s="271">
        <f t="shared" si="2708"/>
        <v>0</v>
      </c>
      <c r="AA567" s="365">
        <f t="shared" ref="AA567:BW567" si="2925">SUM(AA568:AA569)</f>
        <v>0</v>
      </c>
      <c r="AB567" s="365">
        <f t="shared" si="2925"/>
        <v>0</v>
      </c>
      <c r="AC567" s="365">
        <f t="shared" si="2925"/>
        <v>0</v>
      </c>
      <c r="AD567" s="365">
        <f t="shared" si="2925"/>
        <v>0</v>
      </c>
      <c r="AE567" s="365">
        <f t="shared" si="2925"/>
        <v>0</v>
      </c>
      <c r="AF567" s="365">
        <f t="shared" si="2925"/>
        <v>0</v>
      </c>
      <c r="AG567" s="365">
        <f t="shared" si="2925"/>
        <v>0</v>
      </c>
      <c r="AH567" s="365">
        <f t="shared" si="2925"/>
        <v>0</v>
      </c>
      <c r="AI567" s="365">
        <f t="shared" si="2925"/>
        <v>0</v>
      </c>
      <c r="AJ567" s="365">
        <f t="shared" si="2925"/>
        <v>0</v>
      </c>
      <c r="AK567" s="365">
        <f t="shared" si="2925"/>
        <v>0</v>
      </c>
      <c r="AL567" s="365">
        <f t="shared" si="2925"/>
        <v>0</v>
      </c>
      <c r="AM567" s="365">
        <f t="shared" si="2925"/>
        <v>0</v>
      </c>
      <c r="AN567" s="365">
        <f t="shared" si="2925"/>
        <v>0</v>
      </c>
      <c r="AO567" s="365">
        <f t="shared" si="2925"/>
        <v>0</v>
      </c>
      <c r="AP567" s="365">
        <f t="shared" si="2925"/>
        <v>0</v>
      </c>
      <c r="AQ567" s="365">
        <f t="shared" si="2925"/>
        <v>0</v>
      </c>
      <c r="AR567" s="365">
        <f t="shared" si="2925"/>
        <v>0</v>
      </c>
      <c r="AS567" s="365">
        <f t="shared" si="2925"/>
        <v>0</v>
      </c>
      <c r="AT567" s="365">
        <f t="shared" si="2925"/>
        <v>0</v>
      </c>
      <c r="AU567" s="365">
        <f t="shared" si="2925"/>
        <v>0</v>
      </c>
      <c r="AV567" s="365">
        <f t="shared" si="2925"/>
        <v>0</v>
      </c>
      <c r="AW567" s="365">
        <f t="shared" si="2925"/>
        <v>0</v>
      </c>
      <c r="AX567" s="365">
        <f t="shared" si="2925"/>
        <v>0</v>
      </c>
      <c r="AY567" s="365">
        <f t="shared" si="2925"/>
        <v>0</v>
      </c>
      <c r="AZ567" s="365">
        <f t="shared" si="2925"/>
        <v>0</v>
      </c>
      <c r="BA567" s="365">
        <f t="shared" si="2925"/>
        <v>0</v>
      </c>
      <c r="BB567" s="365">
        <f t="shared" si="2925"/>
        <v>0</v>
      </c>
      <c r="BC567" s="365">
        <f t="shared" si="2925"/>
        <v>0</v>
      </c>
      <c r="BD567" s="365">
        <f t="shared" si="2925"/>
        <v>0</v>
      </c>
      <c r="BE567" s="365">
        <f t="shared" si="2925"/>
        <v>0</v>
      </c>
      <c r="BF567" s="365">
        <f t="shared" si="2925"/>
        <v>0</v>
      </c>
      <c r="BG567" s="365">
        <f t="shared" si="2925"/>
        <v>0</v>
      </c>
      <c r="BH567" s="365">
        <f t="shared" si="2925"/>
        <v>0</v>
      </c>
      <c r="BI567" s="365">
        <f t="shared" si="2925"/>
        <v>0</v>
      </c>
      <c r="BJ567" s="365">
        <f t="shared" si="2925"/>
        <v>0</v>
      </c>
      <c r="BK567" s="365">
        <f t="shared" si="2925"/>
        <v>0</v>
      </c>
      <c r="BL567" s="365">
        <f t="shared" si="2925"/>
        <v>0</v>
      </c>
      <c r="BM567" s="365">
        <f t="shared" si="2925"/>
        <v>0</v>
      </c>
      <c r="BN567" s="365">
        <f t="shared" si="2925"/>
        <v>0</v>
      </c>
      <c r="BO567" s="365">
        <f t="shared" si="2925"/>
        <v>0</v>
      </c>
      <c r="BP567" s="365">
        <f t="shared" si="2925"/>
        <v>0</v>
      </c>
      <c r="BQ567" s="365">
        <f t="shared" si="2925"/>
        <v>0</v>
      </c>
      <c r="BR567" s="365">
        <f t="shared" si="2925"/>
        <v>0</v>
      </c>
      <c r="BS567" s="365">
        <f t="shared" si="2925"/>
        <v>0</v>
      </c>
      <c r="BT567" s="365">
        <f t="shared" si="2925"/>
        <v>0</v>
      </c>
      <c r="BU567" s="365">
        <f t="shared" si="2925"/>
        <v>0</v>
      </c>
      <c r="BV567" s="365">
        <f t="shared" si="2925"/>
        <v>0</v>
      </c>
      <c r="BW567" s="365">
        <f t="shared" si="2925"/>
        <v>0</v>
      </c>
      <c r="BX567" s="6"/>
      <c r="BY567" s="6"/>
      <c r="BZ567" s="6"/>
      <c r="CA567" s="6"/>
      <c r="CB567" s="6"/>
      <c r="CC567" s="6"/>
      <c r="CD567" s="6"/>
      <c r="CE567" s="6"/>
      <c r="CF567" s="6"/>
      <c r="CG567" s="6"/>
    </row>
    <row r="568" spans="1:85" ht="15.75" customHeight="1">
      <c r="A568" s="68"/>
      <c r="B568" s="103"/>
      <c r="C568" s="68" t="s">
        <v>69</v>
      </c>
      <c r="D568" s="70" t="s">
        <v>685</v>
      </c>
      <c r="E568" s="56">
        <f>2198.39-86.55</f>
        <v>2111.8399999999997</v>
      </c>
      <c r="F568" s="99">
        <v>0</v>
      </c>
      <c r="G568" s="58">
        <f t="shared" ref="G568:G569" si="2926">E568-F568</f>
        <v>2111.8399999999997</v>
      </c>
      <c r="H568" s="99">
        <v>0</v>
      </c>
      <c r="I568" s="59">
        <f t="shared" si="2879"/>
        <v>0</v>
      </c>
      <c r="J568" s="59">
        <f t="shared" si="2705"/>
        <v>0</v>
      </c>
      <c r="K568" s="74">
        <v>0</v>
      </c>
      <c r="L568" s="74">
        <v>0</v>
      </c>
      <c r="M568" s="74">
        <v>0</v>
      </c>
      <c r="N568" s="74">
        <v>0</v>
      </c>
      <c r="O568" s="61">
        <f t="shared" ref="O568:Q568" si="2927">AA568+AD568+AG568+AJ568+AM568+AP568+AS568+AV568+AY568+BB568+BE568+BH568</f>
        <v>0</v>
      </c>
      <c r="P568" s="61">
        <f t="shared" si="2927"/>
        <v>0</v>
      </c>
      <c r="Q568" s="61">
        <f t="shared" si="2927"/>
        <v>0</v>
      </c>
      <c r="R568" s="61">
        <f t="shared" ref="R568:T568" si="2928">IF(BK568=0,SUM(AA568+AD568+AG568+AJ568+AM568+AP568+AS568+AV568+AY568+BB568+BE568+BH568),BK568)</f>
        <v>0</v>
      </c>
      <c r="S568" s="61">
        <f t="shared" si="2928"/>
        <v>0</v>
      </c>
      <c r="T568" s="61">
        <f t="shared" si="2928"/>
        <v>0</v>
      </c>
      <c r="U568" s="208">
        <f t="shared" ref="U568:U569" si="2929">K568-O568</f>
        <v>0</v>
      </c>
      <c r="V568" s="63">
        <f t="shared" ref="V568:V569" si="2930">L568-M568-S568</f>
        <v>0</v>
      </c>
      <c r="W568" s="63">
        <f t="shared" ref="W568:W569" si="2931">N568-Q568</f>
        <v>0</v>
      </c>
      <c r="X568" s="64">
        <f t="shared" ref="X568:Y568" si="2932">IF(O568&gt;0,O568/K568,0)</f>
        <v>0</v>
      </c>
      <c r="Y568" s="64">
        <f t="shared" si="2932"/>
        <v>0</v>
      </c>
      <c r="Z568" s="64">
        <f t="shared" si="2708"/>
        <v>0</v>
      </c>
      <c r="AA568" s="65"/>
      <c r="AB568" s="65"/>
      <c r="AC568" s="65"/>
      <c r="AD568" s="65"/>
      <c r="AE568" s="66"/>
      <c r="AF568" s="66"/>
      <c r="AG568" s="66"/>
      <c r="AH568" s="66"/>
      <c r="AI568" s="65"/>
      <c r="AJ568" s="65"/>
      <c r="AK568" s="65"/>
      <c r="AL568" s="65"/>
      <c r="AM568" s="65"/>
      <c r="AN568" s="65"/>
      <c r="AO568" s="65"/>
      <c r="AP568" s="65"/>
      <c r="AQ568" s="65"/>
      <c r="AR568" s="65"/>
      <c r="AS568" s="65"/>
      <c r="AT568" s="65"/>
      <c r="AU568" s="65"/>
      <c r="AV568" s="65"/>
      <c r="AW568" s="65"/>
      <c r="AX568" s="65"/>
      <c r="AY568" s="65"/>
      <c r="AZ568" s="65"/>
      <c r="BA568" s="65"/>
      <c r="BB568" s="65"/>
      <c r="BC568" s="65"/>
      <c r="BD568" s="65"/>
      <c r="BE568" s="65"/>
      <c r="BF568" s="65"/>
      <c r="BG568" s="65"/>
      <c r="BH568" s="65"/>
      <c r="BI568" s="65"/>
      <c r="BJ568" s="65"/>
      <c r="BK568" s="65">
        <v>0</v>
      </c>
      <c r="BL568" s="65">
        <v>0</v>
      </c>
      <c r="BM568" s="65">
        <v>0</v>
      </c>
      <c r="BN568" s="65">
        <f t="shared" ref="BN568:BN569" si="2933">IF(O568-BK568&gt;0,O568-BK568,0)</f>
        <v>0</v>
      </c>
      <c r="BO568" s="67">
        <f t="shared" ref="BO568:BO569" si="2934">IF(Q568-BM568&gt;0,Q568-BM568,0)</f>
        <v>0</v>
      </c>
      <c r="BP568" s="65">
        <f t="shared" ref="BP568:BP569" si="2935">IF(BN568+BO568&gt;0,BN568+BO568,0)</f>
        <v>0</v>
      </c>
      <c r="BQ568" s="65">
        <f t="shared" ref="BQ568:BQ569" si="2936">IF(U568=0,0,U568)</f>
        <v>0</v>
      </c>
      <c r="BR568" s="65">
        <f t="shared" ref="BR568:BR569" si="2937">IF(W568=0,0,W568)</f>
        <v>0</v>
      </c>
      <c r="BS568" s="65">
        <f t="shared" ref="BS568:BS569" si="2938">IF(BQ568+BR568&gt;0,BQ568+BR568,0)</f>
        <v>0</v>
      </c>
      <c r="BT568" s="65">
        <f t="shared" ref="BT568:BT569" si="2939">IF(V568&gt;0,V568,0)</f>
        <v>0</v>
      </c>
      <c r="BU568" s="65">
        <f t="shared" ref="BU568:BU569" si="2940">IF(BP568=0,0,BP568)</f>
        <v>0</v>
      </c>
      <c r="BV568" s="65">
        <f t="shared" ref="BV568:BV569" si="2941">IF(BS568=0,0,BS568)</f>
        <v>0</v>
      </c>
      <c r="BW568" s="65">
        <f t="shared" ref="BW568:BW569" si="2942">IF(BP568+BT568+BV568&gt;0,BP568+BT568+BV568,0)</f>
        <v>0</v>
      </c>
      <c r="BX568" s="6"/>
      <c r="BY568" s="6"/>
      <c r="BZ568" s="6"/>
      <c r="CA568" s="6"/>
      <c r="CB568" s="6"/>
      <c r="CC568" s="6"/>
      <c r="CD568" s="6"/>
      <c r="CE568" s="6"/>
      <c r="CF568" s="6"/>
      <c r="CG568" s="6"/>
    </row>
    <row r="569" spans="1:85" ht="15.75" customHeight="1">
      <c r="A569" s="68"/>
      <c r="B569" s="103"/>
      <c r="C569" s="68" t="s">
        <v>69</v>
      </c>
      <c r="D569" s="70" t="s">
        <v>670</v>
      </c>
      <c r="E569" s="56">
        <v>5000</v>
      </c>
      <c r="F569" s="99">
        <v>0</v>
      </c>
      <c r="G569" s="58">
        <f t="shared" si="2926"/>
        <v>5000</v>
      </c>
      <c r="H569" s="99">
        <v>0</v>
      </c>
      <c r="I569" s="59">
        <f t="shared" si="2879"/>
        <v>0</v>
      </c>
      <c r="J569" s="59">
        <f t="shared" si="2705"/>
        <v>0</v>
      </c>
      <c r="K569" s="74">
        <v>0</v>
      </c>
      <c r="L569" s="74">
        <v>0</v>
      </c>
      <c r="M569" s="74">
        <v>0</v>
      </c>
      <c r="N569" s="74">
        <v>0</v>
      </c>
      <c r="O569" s="61">
        <f t="shared" ref="O569:Q569" si="2943">AA569+AD569+AG569+AJ569+AM569+AP569+AS569+AV569+AY569+BB569+BE569+BH569</f>
        <v>0</v>
      </c>
      <c r="P569" s="61">
        <f t="shared" si="2943"/>
        <v>0</v>
      </c>
      <c r="Q569" s="61">
        <f t="shared" si="2943"/>
        <v>0</v>
      </c>
      <c r="R569" s="61">
        <f t="shared" ref="R569:T569" si="2944">IF(BK569=0,SUM(AA569+AD569+AG569+AJ569+AM569+AP569+AS569+AV569+AY569+BB569+BE569+BH569),BK569)</f>
        <v>0</v>
      </c>
      <c r="S569" s="61">
        <f t="shared" si="2944"/>
        <v>0</v>
      </c>
      <c r="T569" s="61">
        <f t="shared" si="2944"/>
        <v>0</v>
      </c>
      <c r="U569" s="63">
        <f t="shared" si="2929"/>
        <v>0</v>
      </c>
      <c r="V569" s="63">
        <f t="shared" si="2930"/>
        <v>0</v>
      </c>
      <c r="W569" s="63">
        <f t="shared" si="2931"/>
        <v>0</v>
      </c>
      <c r="X569" s="64">
        <f t="shared" ref="X569:Y569" si="2945">IF(O569&gt;0,O569/K569,0)</f>
        <v>0</v>
      </c>
      <c r="Y569" s="64">
        <f t="shared" si="2945"/>
        <v>0</v>
      </c>
      <c r="Z569" s="64">
        <f t="shared" si="2708"/>
        <v>0</v>
      </c>
      <c r="AA569" s="65"/>
      <c r="AB569" s="65"/>
      <c r="AC569" s="65"/>
      <c r="AD569" s="65"/>
      <c r="AE569" s="66"/>
      <c r="AF569" s="66"/>
      <c r="AG569" s="66"/>
      <c r="AH569" s="66"/>
      <c r="AI569" s="65"/>
      <c r="AJ569" s="65"/>
      <c r="AK569" s="65"/>
      <c r="AL569" s="65"/>
      <c r="AM569" s="65"/>
      <c r="AN569" s="65"/>
      <c r="AO569" s="65"/>
      <c r="AP569" s="65"/>
      <c r="AQ569" s="65"/>
      <c r="AR569" s="65"/>
      <c r="AS569" s="65"/>
      <c r="AT569" s="65"/>
      <c r="AU569" s="65"/>
      <c r="AV569" s="65"/>
      <c r="AW569" s="65"/>
      <c r="AX569" s="65"/>
      <c r="AY569" s="65"/>
      <c r="AZ569" s="65"/>
      <c r="BA569" s="65"/>
      <c r="BB569" s="65"/>
      <c r="BC569" s="65"/>
      <c r="BD569" s="65"/>
      <c r="BE569" s="65"/>
      <c r="BF569" s="65"/>
      <c r="BG569" s="65"/>
      <c r="BH569" s="65"/>
      <c r="BI569" s="65"/>
      <c r="BJ569" s="65"/>
      <c r="BK569" s="65">
        <v>0</v>
      </c>
      <c r="BL569" s="65">
        <v>0</v>
      </c>
      <c r="BM569" s="65">
        <v>0</v>
      </c>
      <c r="BN569" s="65">
        <f t="shared" si="2933"/>
        <v>0</v>
      </c>
      <c r="BO569" s="67">
        <f t="shared" si="2934"/>
        <v>0</v>
      </c>
      <c r="BP569" s="65">
        <f t="shared" si="2935"/>
        <v>0</v>
      </c>
      <c r="BQ569" s="65">
        <f t="shared" si="2936"/>
        <v>0</v>
      </c>
      <c r="BR569" s="65">
        <f t="shared" si="2937"/>
        <v>0</v>
      </c>
      <c r="BS569" s="65">
        <f t="shared" si="2938"/>
        <v>0</v>
      </c>
      <c r="BT569" s="65">
        <f t="shared" si="2939"/>
        <v>0</v>
      </c>
      <c r="BU569" s="65">
        <f t="shared" si="2940"/>
        <v>0</v>
      </c>
      <c r="BV569" s="65">
        <f t="shared" si="2941"/>
        <v>0</v>
      </c>
      <c r="BW569" s="65">
        <f t="shared" si="2942"/>
        <v>0</v>
      </c>
      <c r="BX569" s="6"/>
      <c r="BY569" s="6"/>
      <c r="BZ569" s="6"/>
      <c r="CA569" s="6"/>
      <c r="CB569" s="6"/>
      <c r="CC569" s="6"/>
      <c r="CD569" s="6"/>
      <c r="CE569" s="6"/>
      <c r="CF569" s="6"/>
      <c r="CG569" s="6"/>
    </row>
    <row r="570" spans="1:85" ht="15.75">
      <c r="A570" s="75"/>
      <c r="B570" s="76"/>
      <c r="C570" s="77"/>
      <c r="D570" s="280" t="s">
        <v>467</v>
      </c>
      <c r="E570" s="45">
        <f t="shared" ref="E570:H570" si="2946">SUM(E571:E576)</f>
        <v>51100</v>
      </c>
      <c r="F570" s="45">
        <f t="shared" si="2946"/>
        <v>0</v>
      </c>
      <c r="G570" s="45">
        <f t="shared" si="2946"/>
        <v>51100</v>
      </c>
      <c r="H570" s="45">
        <f t="shared" si="2946"/>
        <v>0</v>
      </c>
      <c r="I570" s="47">
        <f t="shared" si="2879"/>
        <v>1.4970645792563602</v>
      </c>
      <c r="J570" s="47">
        <f t="shared" si="2705"/>
        <v>0.43052837573385516</v>
      </c>
      <c r="K570" s="45">
        <f t="shared" ref="K570:W570" si="2947">SUM(K571:K576)</f>
        <v>76500</v>
      </c>
      <c r="L570" s="45">
        <f t="shared" si="2947"/>
        <v>0</v>
      </c>
      <c r="M570" s="45">
        <f t="shared" si="2947"/>
        <v>0</v>
      </c>
      <c r="N570" s="45">
        <f t="shared" si="2947"/>
        <v>0</v>
      </c>
      <c r="O570" s="45">
        <f t="shared" si="2947"/>
        <v>22000</v>
      </c>
      <c r="P570" s="45">
        <f t="shared" si="2947"/>
        <v>0</v>
      </c>
      <c r="Q570" s="45">
        <f t="shared" si="2947"/>
        <v>0</v>
      </c>
      <c r="R570" s="45">
        <f t="shared" si="2947"/>
        <v>22000</v>
      </c>
      <c r="S570" s="45">
        <f t="shared" si="2947"/>
        <v>0</v>
      </c>
      <c r="T570" s="45">
        <f t="shared" si="2947"/>
        <v>0</v>
      </c>
      <c r="U570" s="45">
        <f t="shared" si="2947"/>
        <v>54500</v>
      </c>
      <c r="V570" s="45">
        <f t="shared" si="2947"/>
        <v>0</v>
      </c>
      <c r="W570" s="45">
        <f t="shared" si="2947"/>
        <v>0</v>
      </c>
      <c r="X570" s="50">
        <f t="shared" ref="X570:Y570" si="2948">IF(O570&gt;0,O570/K570,0)</f>
        <v>0.28758169934640521</v>
      </c>
      <c r="Y570" s="50">
        <f t="shared" si="2948"/>
        <v>0</v>
      </c>
      <c r="Z570" s="50">
        <f t="shared" si="2708"/>
        <v>0</v>
      </c>
      <c r="AA570" s="45">
        <f t="shared" ref="AA570:BW570" si="2949">SUM(AA571:AA576)</f>
        <v>0</v>
      </c>
      <c r="AB570" s="45">
        <f t="shared" si="2949"/>
        <v>0</v>
      </c>
      <c r="AC570" s="45">
        <f t="shared" si="2949"/>
        <v>0</v>
      </c>
      <c r="AD570" s="45">
        <f t="shared" si="2949"/>
        <v>0</v>
      </c>
      <c r="AE570" s="45">
        <f t="shared" si="2949"/>
        <v>0</v>
      </c>
      <c r="AF570" s="45">
        <f t="shared" si="2949"/>
        <v>0</v>
      </c>
      <c r="AG570" s="45">
        <f t="shared" si="2949"/>
        <v>0</v>
      </c>
      <c r="AH570" s="45">
        <f t="shared" si="2949"/>
        <v>0</v>
      </c>
      <c r="AI570" s="45">
        <f t="shared" si="2949"/>
        <v>0</v>
      </c>
      <c r="AJ570" s="45">
        <f t="shared" si="2949"/>
        <v>0</v>
      </c>
      <c r="AK570" s="45">
        <f t="shared" si="2949"/>
        <v>0</v>
      </c>
      <c r="AL570" s="45">
        <f t="shared" si="2949"/>
        <v>0</v>
      </c>
      <c r="AM570" s="45">
        <f t="shared" si="2949"/>
        <v>0</v>
      </c>
      <c r="AN570" s="45">
        <f t="shared" si="2949"/>
        <v>0</v>
      </c>
      <c r="AO570" s="45">
        <f t="shared" si="2949"/>
        <v>0</v>
      </c>
      <c r="AP570" s="45">
        <f t="shared" si="2949"/>
        <v>22000</v>
      </c>
      <c r="AQ570" s="45">
        <f t="shared" si="2949"/>
        <v>0</v>
      </c>
      <c r="AR570" s="45">
        <f t="shared" si="2949"/>
        <v>0</v>
      </c>
      <c r="AS570" s="45">
        <f t="shared" si="2949"/>
        <v>0</v>
      </c>
      <c r="AT570" s="45">
        <f t="shared" si="2949"/>
        <v>0</v>
      </c>
      <c r="AU570" s="45">
        <f t="shared" si="2949"/>
        <v>0</v>
      </c>
      <c r="AV570" s="45">
        <f t="shared" si="2949"/>
        <v>0</v>
      </c>
      <c r="AW570" s="45">
        <f t="shared" si="2949"/>
        <v>0</v>
      </c>
      <c r="AX570" s="45">
        <f t="shared" si="2949"/>
        <v>0</v>
      </c>
      <c r="AY570" s="45">
        <f t="shared" si="2949"/>
        <v>0</v>
      </c>
      <c r="AZ570" s="45">
        <f t="shared" si="2949"/>
        <v>0</v>
      </c>
      <c r="BA570" s="45">
        <f t="shared" si="2949"/>
        <v>0</v>
      </c>
      <c r="BB570" s="45">
        <f t="shared" si="2949"/>
        <v>0</v>
      </c>
      <c r="BC570" s="45">
        <f t="shared" si="2949"/>
        <v>0</v>
      </c>
      <c r="BD570" s="45">
        <f t="shared" si="2949"/>
        <v>0</v>
      </c>
      <c r="BE570" s="45">
        <f t="shared" si="2949"/>
        <v>0</v>
      </c>
      <c r="BF570" s="45">
        <f t="shared" si="2949"/>
        <v>0</v>
      </c>
      <c r="BG570" s="45">
        <f t="shared" si="2949"/>
        <v>0</v>
      </c>
      <c r="BH570" s="45">
        <f t="shared" si="2949"/>
        <v>0</v>
      </c>
      <c r="BI570" s="45">
        <f t="shared" si="2949"/>
        <v>0</v>
      </c>
      <c r="BJ570" s="45">
        <f t="shared" si="2949"/>
        <v>0</v>
      </c>
      <c r="BK570" s="45">
        <f t="shared" si="2949"/>
        <v>0</v>
      </c>
      <c r="BL570" s="45">
        <f t="shared" si="2949"/>
        <v>0</v>
      </c>
      <c r="BM570" s="45">
        <f t="shared" si="2949"/>
        <v>0</v>
      </c>
      <c r="BN570" s="45">
        <f t="shared" si="2949"/>
        <v>22000</v>
      </c>
      <c r="BO570" s="45">
        <f t="shared" si="2949"/>
        <v>0</v>
      </c>
      <c r="BP570" s="45">
        <f t="shared" si="2949"/>
        <v>22000</v>
      </c>
      <c r="BQ570" s="45">
        <f t="shared" si="2949"/>
        <v>54500</v>
      </c>
      <c r="BR570" s="45">
        <f t="shared" si="2949"/>
        <v>0</v>
      </c>
      <c r="BS570" s="45">
        <f t="shared" si="2949"/>
        <v>54500</v>
      </c>
      <c r="BT570" s="45">
        <f t="shared" si="2949"/>
        <v>0</v>
      </c>
      <c r="BU570" s="45">
        <f t="shared" si="2949"/>
        <v>22000</v>
      </c>
      <c r="BV570" s="45">
        <f t="shared" si="2949"/>
        <v>54500</v>
      </c>
      <c r="BW570" s="45">
        <f t="shared" si="2949"/>
        <v>76500</v>
      </c>
      <c r="BX570" s="51"/>
      <c r="BY570" s="51"/>
      <c r="BZ570" s="51"/>
      <c r="CA570" s="51"/>
      <c r="CB570" s="51"/>
      <c r="CC570" s="51"/>
      <c r="CD570" s="51"/>
      <c r="CE570" s="51"/>
      <c r="CF570" s="51"/>
      <c r="CG570" s="51"/>
    </row>
    <row r="571" spans="1:85" ht="15.75" customHeight="1">
      <c r="A571" s="371" t="s">
        <v>686</v>
      </c>
      <c r="C571" s="68" t="s">
        <v>430</v>
      </c>
      <c r="D571" s="372" t="s">
        <v>687</v>
      </c>
      <c r="E571" s="99">
        <v>0</v>
      </c>
      <c r="F571" s="99">
        <v>0</v>
      </c>
      <c r="G571" s="58">
        <f t="shared" ref="G571:G576" si="2950">E571-F571</f>
        <v>0</v>
      </c>
      <c r="H571" s="99">
        <v>0</v>
      </c>
      <c r="I571" s="59">
        <f t="shared" si="2879"/>
        <v>0</v>
      </c>
      <c r="J571" s="59">
        <f t="shared" si="2705"/>
        <v>0</v>
      </c>
      <c r="K571" s="74">
        <v>76500</v>
      </c>
      <c r="L571" s="74">
        <v>0</v>
      </c>
      <c r="M571" s="74">
        <v>0</v>
      </c>
      <c r="N571" s="74">
        <v>0</v>
      </c>
      <c r="O571" s="61">
        <f t="shared" ref="O571:Q571" si="2951">AA571+AD571+AG571+AJ571+AM571+AP571+AS571+AV571+AY571+BB571+BE571+BH571</f>
        <v>22000</v>
      </c>
      <c r="P571" s="61">
        <f t="shared" si="2951"/>
        <v>0</v>
      </c>
      <c r="Q571" s="61">
        <f t="shared" si="2951"/>
        <v>0</v>
      </c>
      <c r="R571" s="61">
        <f t="shared" ref="R571:T571" si="2952">IF(BK571=0,SUM(AA571+AD571+AG571+AJ571+AM571+AP571+AS571+AV571+AY571+BB571+BE571+BH571),BK571)</f>
        <v>22000</v>
      </c>
      <c r="S571" s="61">
        <f t="shared" si="2952"/>
        <v>0</v>
      </c>
      <c r="T571" s="61">
        <f t="shared" si="2952"/>
        <v>0</v>
      </c>
      <c r="U571" s="62">
        <f t="shared" ref="U571:U576" si="2953">K571-O571</f>
        <v>54500</v>
      </c>
      <c r="V571" s="63">
        <f t="shared" ref="V571:V576" si="2954">L571-M571-S571</f>
        <v>0</v>
      </c>
      <c r="W571" s="63">
        <f t="shared" ref="W571:W576" si="2955">N571-Q571</f>
        <v>0</v>
      </c>
      <c r="X571" s="64">
        <f t="shared" ref="X571:Y571" si="2956">IF(O571&gt;0,O571/K571,0)</f>
        <v>0.28758169934640521</v>
      </c>
      <c r="Y571" s="64">
        <f t="shared" si="2956"/>
        <v>0</v>
      </c>
      <c r="Z571" s="64">
        <f t="shared" si="2708"/>
        <v>0</v>
      </c>
      <c r="AA571" s="65"/>
      <c r="AB571" s="65"/>
      <c r="AC571" s="65"/>
      <c r="AD571" s="65"/>
      <c r="AE571" s="66"/>
      <c r="AF571" s="66"/>
      <c r="AG571" s="66"/>
      <c r="AH571" s="66"/>
      <c r="AI571" s="65"/>
      <c r="AJ571" s="65"/>
      <c r="AK571" s="65"/>
      <c r="AL571" s="65"/>
      <c r="AM571" s="65"/>
      <c r="AN571" s="65"/>
      <c r="AO571" s="65"/>
      <c r="AP571" s="65">
        <f>750+500+750+8250+375+8250+750+500+750+375+750</f>
        <v>22000</v>
      </c>
      <c r="AQ571" s="65"/>
      <c r="AR571" s="65"/>
      <c r="AS571" s="65"/>
      <c r="AT571" s="65"/>
      <c r="AU571" s="65"/>
      <c r="AV571" s="65"/>
      <c r="AW571" s="65"/>
      <c r="AX571" s="65"/>
      <c r="AY571" s="65"/>
      <c r="AZ571" s="65"/>
      <c r="BA571" s="65"/>
      <c r="BB571" s="65"/>
      <c r="BC571" s="65"/>
      <c r="BD571" s="65"/>
      <c r="BE571" s="65"/>
      <c r="BF571" s="65"/>
      <c r="BG571" s="65"/>
      <c r="BH571" s="65"/>
      <c r="BI571" s="65"/>
      <c r="BJ571" s="65"/>
      <c r="BK571" s="65">
        <v>0</v>
      </c>
      <c r="BL571" s="65">
        <v>0</v>
      </c>
      <c r="BM571" s="65">
        <v>0</v>
      </c>
      <c r="BN571" s="65">
        <f t="shared" ref="BN571:BN576" si="2957">IF(O571-BK571&gt;0,O571-BK571,0)</f>
        <v>22000</v>
      </c>
      <c r="BO571" s="67">
        <f t="shared" ref="BO571:BO576" si="2958">IF(Q571-BM571&gt;0,Q571-BM571,0)</f>
        <v>0</v>
      </c>
      <c r="BP571" s="65">
        <f t="shared" ref="BP571:BP576" si="2959">IF(BN571+BO571&gt;0,BN571+BO571,0)</f>
        <v>22000</v>
      </c>
      <c r="BQ571" s="65">
        <f t="shared" ref="BQ571:BQ576" si="2960">IF(U571=0,0,U571)</f>
        <v>54500</v>
      </c>
      <c r="BR571" s="65">
        <f t="shared" ref="BR571:BR576" si="2961">IF(W571=0,0,W571)</f>
        <v>0</v>
      </c>
      <c r="BS571" s="65">
        <f t="shared" ref="BS571:BS576" si="2962">IF(BQ571+BR571&gt;0,BQ571+BR571,0)</f>
        <v>54500</v>
      </c>
      <c r="BT571" s="65">
        <f t="shared" ref="BT571:BT576" si="2963">IF(V571&gt;0,V571,0)</f>
        <v>0</v>
      </c>
      <c r="BU571" s="65">
        <f t="shared" ref="BU571:BU576" si="2964">IF(BP571=0,0,BP571)</f>
        <v>22000</v>
      </c>
      <c r="BV571" s="65">
        <f t="shared" ref="BV571:BV576" si="2965">IF(BS571=0,0,BS571)</f>
        <v>54500</v>
      </c>
      <c r="BW571" s="65">
        <f t="shared" ref="BW571:BW576" si="2966">IF(BP571+BT571+BV571&gt;0,BP571+BT571+BV571,0)</f>
        <v>76500</v>
      </c>
      <c r="BX571" s="6"/>
      <c r="BY571" s="6"/>
      <c r="BZ571" s="6"/>
      <c r="CA571" s="6"/>
      <c r="CB571" s="6"/>
      <c r="CC571" s="6"/>
      <c r="CD571" s="6"/>
      <c r="CE571" s="6"/>
      <c r="CF571" s="6"/>
      <c r="CG571" s="6"/>
    </row>
    <row r="572" spans="1:85" ht="15.75" customHeight="1">
      <c r="A572" s="68"/>
      <c r="B572" s="103"/>
      <c r="C572" s="68" t="s">
        <v>430</v>
      </c>
      <c r="D572" s="368" t="s">
        <v>688</v>
      </c>
      <c r="E572" s="99">
        <v>0</v>
      </c>
      <c r="F572" s="99">
        <v>0</v>
      </c>
      <c r="G572" s="58">
        <f t="shared" si="2950"/>
        <v>0</v>
      </c>
      <c r="H572" s="99">
        <v>0</v>
      </c>
      <c r="I572" s="59">
        <f t="shared" si="2879"/>
        <v>0</v>
      </c>
      <c r="J572" s="59">
        <f t="shared" si="2705"/>
        <v>0</v>
      </c>
      <c r="K572" s="74">
        <v>0</v>
      </c>
      <c r="L572" s="74">
        <v>0</v>
      </c>
      <c r="M572" s="74">
        <v>0</v>
      </c>
      <c r="N572" s="74">
        <v>0</v>
      </c>
      <c r="O572" s="61">
        <f t="shared" ref="O572:Q572" si="2967">AA572+AD572+AG572+AJ572+AM572+AP572+AS572+AV572+AY572+BB572+BE572+BH572</f>
        <v>0</v>
      </c>
      <c r="P572" s="61">
        <f t="shared" si="2967"/>
        <v>0</v>
      </c>
      <c r="Q572" s="61">
        <f t="shared" si="2967"/>
        <v>0</v>
      </c>
      <c r="R572" s="61">
        <f t="shared" ref="R572:T572" si="2968">IF(BK572=0,SUM(AA572+AD572+AG572+AJ572+AM572+AP572+AS572+AV572+AY572+BB572+BE572+BH572),BK572)</f>
        <v>0</v>
      </c>
      <c r="S572" s="61">
        <f t="shared" si="2968"/>
        <v>0</v>
      </c>
      <c r="T572" s="61">
        <f t="shared" si="2968"/>
        <v>0</v>
      </c>
      <c r="U572" s="63">
        <f t="shared" si="2953"/>
        <v>0</v>
      </c>
      <c r="V572" s="63">
        <f t="shared" si="2954"/>
        <v>0</v>
      </c>
      <c r="W572" s="63">
        <f t="shared" si="2955"/>
        <v>0</v>
      </c>
      <c r="X572" s="64">
        <f t="shared" ref="X572:Y572" si="2969">IF(O572&gt;0,O572/K572,0)</f>
        <v>0</v>
      </c>
      <c r="Y572" s="64">
        <f t="shared" si="2969"/>
        <v>0</v>
      </c>
      <c r="Z572" s="64">
        <f t="shared" si="2708"/>
        <v>0</v>
      </c>
      <c r="AA572" s="65"/>
      <c r="AB572" s="65"/>
      <c r="AC572" s="65"/>
      <c r="AD572" s="65"/>
      <c r="AE572" s="66"/>
      <c r="AF572" s="66"/>
      <c r="AG572" s="66"/>
      <c r="AH572" s="66"/>
      <c r="AI572" s="65"/>
      <c r="AJ572" s="65"/>
      <c r="AK572" s="65"/>
      <c r="AL572" s="65"/>
      <c r="AM572" s="65"/>
      <c r="AN572" s="65"/>
      <c r="AO572" s="65"/>
      <c r="AP572" s="65"/>
      <c r="AQ572" s="65"/>
      <c r="AR572" s="65"/>
      <c r="AS572" s="65"/>
      <c r="AT572" s="65"/>
      <c r="AU572" s="65"/>
      <c r="AV572" s="65"/>
      <c r="AW572" s="65"/>
      <c r="AX572" s="65"/>
      <c r="AY572" s="65"/>
      <c r="AZ572" s="65"/>
      <c r="BA572" s="65"/>
      <c r="BB572" s="65"/>
      <c r="BC572" s="65"/>
      <c r="BD572" s="65"/>
      <c r="BE572" s="65"/>
      <c r="BF572" s="65"/>
      <c r="BG572" s="65"/>
      <c r="BH572" s="65"/>
      <c r="BI572" s="65"/>
      <c r="BJ572" s="65"/>
      <c r="BK572" s="65">
        <v>0</v>
      </c>
      <c r="BL572" s="65">
        <v>0</v>
      </c>
      <c r="BM572" s="65">
        <v>0</v>
      </c>
      <c r="BN572" s="65">
        <f t="shared" si="2957"/>
        <v>0</v>
      </c>
      <c r="BO572" s="67">
        <f t="shared" si="2958"/>
        <v>0</v>
      </c>
      <c r="BP572" s="65">
        <f t="shared" si="2959"/>
        <v>0</v>
      </c>
      <c r="BQ572" s="65">
        <f t="shared" si="2960"/>
        <v>0</v>
      </c>
      <c r="BR572" s="65">
        <f t="shared" si="2961"/>
        <v>0</v>
      </c>
      <c r="BS572" s="65">
        <f t="shared" si="2962"/>
        <v>0</v>
      </c>
      <c r="BT572" s="65">
        <f t="shared" si="2963"/>
        <v>0</v>
      </c>
      <c r="BU572" s="65">
        <f t="shared" si="2964"/>
        <v>0</v>
      </c>
      <c r="BV572" s="65">
        <f t="shared" si="2965"/>
        <v>0</v>
      </c>
      <c r="BW572" s="65">
        <f t="shared" si="2966"/>
        <v>0</v>
      </c>
      <c r="BX572" s="6"/>
      <c r="BY572" s="6"/>
      <c r="BZ572" s="6"/>
      <c r="CA572" s="6"/>
      <c r="CB572" s="6"/>
      <c r="CC572" s="6"/>
      <c r="CD572" s="6"/>
      <c r="CE572" s="6"/>
      <c r="CF572" s="6"/>
      <c r="CG572" s="6"/>
    </row>
    <row r="573" spans="1:85" ht="15.75" customHeight="1">
      <c r="A573" s="68"/>
      <c r="B573" s="103"/>
      <c r="C573" s="68" t="s">
        <v>430</v>
      </c>
      <c r="D573" s="70" t="s">
        <v>689</v>
      </c>
      <c r="E573" s="99">
        <v>0</v>
      </c>
      <c r="F573" s="99">
        <v>0</v>
      </c>
      <c r="G573" s="58">
        <f t="shared" si="2950"/>
        <v>0</v>
      </c>
      <c r="H573" s="99">
        <v>0</v>
      </c>
      <c r="I573" s="59">
        <f t="shared" si="2879"/>
        <v>0</v>
      </c>
      <c r="J573" s="59">
        <f t="shared" si="2705"/>
        <v>0</v>
      </c>
      <c r="K573" s="74">
        <v>0</v>
      </c>
      <c r="L573" s="74">
        <v>0</v>
      </c>
      <c r="M573" s="74">
        <v>0</v>
      </c>
      <c r="N573" s="74">
        <v>0</v>
      </c>
      <c r="O573" s="61">
        <f t="shared" ref="O573:Q573" si="2970">AA573+AD573+AG573+AJ573+AM573+AP573+AS573+AV573+AY573+BB573+BE573+BH573</f>
        <v>0</v>
      </c>
      <c r="P573" s="61">
        <f t="shared" si="2970"/>
        <v>0</v>
      </c>
      <c r="Q573" s="61">
        <f t="shared" si="2970"/>
        <v>0</v>
      </c>
      <c r="R573" s="61">
        <f t="shared" ref="R573:T573" si="2971">IF(BK573=0,SUM(AA573+AD573+AG573+AJ573+AM573+AP573+AS573+AV573+AY573+BB573+BE573+BH573),BK573)</f>
        <v>0</v>
      </c>
      <c r="S573" s="61">
        <f t="shared" si="2971"/>
        <v>0</v>
      </c>
      <c r="T573" s="61">
        <f t="shared" si="2971"/>
        <v>0</v>
      </c>
      <c r="U573" s="63">
        <f t="shared" si="2953"/>
        <v>0</v>
      </c>
      <c r="V573" s="63">
        <f t="shared" si="2954"/>
        <v>0</v>
      </c>
      <c r="W573" s="63">
        <f t="shared" si="2955"/>
        <v>0</v>
      </c>
      <c r="X573" s="64">
        <f t="shared" ref="X573:Y573" si="2972">IF(O573&gt;0,O573/K573,0)</f>
        <v>0</v>
      </c>
      <c r="Y573" s="64">
        <f t="shared" si="2972"/>
        <v>0</v>
      </c>
      <c r="Z573" s="64">
        <f t="shared" si="2708"/>
        <v>0</v>
      </c>
      <c r="AA573" s="65"/>
      <c r="AB573" s="65"/>
      <c r="AC573" s="65"/>
      <c r="AD573" s="65"/>
      <c r="AE573" s="66"/>
      <c r="AF573" s="66"/>
      <c r="AG573" s="66"/>
      <c r="AH573" s="66"/>
      <c r="AI573" s="65"/>
      <c r="AJ573" s="65"/>
      <c r="AK573" s="65"/>
      <c r="AL573" s="65"/>
      <c r="AM573" s="65"/>
      <c r="AN573" s="65"/>
      <c r="AO573" s="65"/>
      <c r="AP573" s="65"/>
      <c r="AQ573" s="65"/>
      <c r="AR573" s="65"/>
      <c r="AS573" s="65"/>
      <c r="AT573" s="65"/>
      <c r="AU573" s="65"/>
      <c r="AV573" s="65"/>
      <c r="AW573" s="65"/>
      <c r="AX573" s="65"/>
      <c r="AY573" s="65"/>
      <c r="AZ573" s="65"/>
      <c r="BA573" s="65"/>
      <c r="BB573" s="65"/>
      <c r="BC573" s="65"/>
      <c r="BD573" s="65"/>
      <c r="BE573" s="65"/>
      <c r="BF573" s="65"/>
      <c r="BG573" s="65"/>
      <c r="BH573" s="65"/>
      <c r="BI573" s="65"/>
      <c r="BJ573" s="65"/>
      <c r="BK573" s="65">
        <v>0</v>
      </c>
      <c r="BL573" s="65">
        <v>0</v>
      </c>
      <c r="BM573" s="65">
        <v>0</v>
      </c>
      <c r="BN573" s="65">
        <f t="shared" si="2957"/>
        <v>0</v>
      </c>
      <c r="BO573" s="67">
        <f t="shared" si="2958"/>
        <v>0</v>
      </c>
      <c r="BP573" s="65">
        <f t="shared" si="2959"/>
        <v>0</v>
      </c>
      <c r="BQ573" s="65">
        <f t="shared" si="2960"/>
        <v>0</v>
      </c>
      <c r="BR573" s="65">
        <f t="shared" si="2961"/>
        <v>0</v>
      </c>
      <c r="BS573" s="65">
        <f t="shared" si="2962"/>
        <v>0</v>
      </c>
      <c r="BT573" s="65">
        <f t="shared" si="2963"/>
        <v>0</v>
      </c>
      <c r="BU573" s="65">
        <f t="shared" si="2964"/>
        <v>0</v>
      </c>
      <c r="BV573" s="65">
        <f t="shared" si="2965"/>
        <v>0</v>
      </c>
      <c r="BW573" s="65">
        <f t="shared" si="2966"/>
        <v>0</v>
      </c>
      <c r="BX573" s="6"/>
      <c r="BY573" s="6"/>
      <c r="BZ573" s="6"/>
      <c r="CA573" s="6"/>
      <c r="CB573" s="6"/>
      <c r="CC573" s="6"/>
      <c r="CD573" s="6"/>
      <c r="CE573" s="6"/>
      <c r="CF573" s="6"/>
      <c r="CG573" s="6"/>
    </row>
    <row r="574" spans="1:85" ht="15.75" customHeight="1">
      <c r="A574" s="68"/>
      <c r="B574" s="103"/>
      <c r="C574" s="68" t="s">
        <v>335</v>
      </c>
      <c r="D574" s="70" t="s">
        <v>690</v>
      </c>
      <c r="E574" s="56">
        <v>6000</v>
      </c>
      <c r="F574" s="99">
        <v>0</v>
      </c>
      <c r="G574" s="58">
        <f t="shared" si="2950"/>
        <v>6000</v>
      </c>
      <c r="H574" s="99">
        <v>0</v>
      </c>
      <c r="I574" s="59">
        <f t="shared" si="2879"/>
        <v>0</v>
      </c>
      <c r="J574" s="59">
        <f t="shared" si="2705"/>
        <v>0</v>
      </c>
      <c r="K574" s="74">
        <v>0</v>
      </c>
      <c r="L574" s="74">
        <v>0</v>
      </c>
      <c r="M574" s="74">
        <v>0</v>
      </c>
      <c r="N574" s="74">
        <v>0</v>
      </c>
      <c r="O574" s="61">
        <f t="shared" ref="O574:Q574" si="2973">AA574+AD574+AG574+AJ574+AM574+AP574+AS574+AV574+AY574+BB574+BE574+BH574</f>
        <v>0</v>
      </c>
      <c r="P574" s="61">
        <f t="shared" si="2973"/>
        <v>0</v>
      </c>
      <c r="Q574" s="61">
        <f t="shared" si="2973"/>
        <v>0</v>
      </c>
      <c r="R574" s="61">
        <f t="shared" ref="R574:T574" si="2974">IF(BK574=0,SUM(AA574+AD574+AG574+AJ574+AM574+AP574+AS574+AV574+AY574+BB574+BE574+BH574),BK574)</f>
        <v>0</v>
      </c>
      <c r="S574" s="61">
        <f t="shared" si="2974"/>
        <v>0</v>
      </c>
      <c r="T574" s="61">
        <f t="shared" si="2974"/>
        <v>0</v>
      </c>
      <c r="U574" s="63">
        <f t="shared" si="2953"/>
        <v>0</v>
      </c>
      <c r="V574" s="63">
        <f t="shared" si="2954"/>
        <v>0</v>
      </c>
      <c r="W574" s="63">
        <f t="shared" si="2955"/>
        <v>0</v>
      </c>
      <c r="X574" s="64">
        <f t="shared" ref="X574:Y574" si="2975">IF(O574&gt;0,O574/K574,0)</f>
        <v>0</v>
      </c>
      <c r="Y574" s="64">
        <f t="shared" si="2975"/>
        <v>0</v>
      </c>
      <c r="Z574" s="64">
        <f t="shared" si="2708"/>
        <v>0</v>
      </c>
      <c r="AA574" s="65"/>
      <c r="AB574" s="65"/>
      <c r="AC574" s="65"/>
      <c r="AD574" s="65"/>
      <c r="AE574" s="66"/>
      <c r="AF574" s="66"/>
      <c r="AG574" s="66"/>
      <c r="AH574" s="66"/>
      <c r="AI574" s="65"/>
      <c r="AJ574" s="65"/>
      <c r="AK574" s="65"/>
      <c r="AL574" s="65"/>
      <c r="AM574" s="65"/>
      <c r="AN574" s="65"/>
      <c r="AO574" s="65"/>
      <c r="AP574" s="65"/>
      <c r="AQ574" s="65"/>
      <c r="AR574" s="65"/>
      <c r="AS574" s="65"/>
      <c r="AT574" s="65"/>
      <c r="AU574" s="65"/>
      <c r="AV574" s="65"/>
      <c r="AW574" s="65"/>
      <c r="AX574" s="65"/>
      <c r="AY574" s="65"/>
      <c r="AZ574" s="65"/>
      <c r="BA574" s="65"/>
      <c r="BB574" s="65"/>
      <c r="BC574" s="65"/>
      <c r="BD574" s="65"/>
      <c r="BE574" s="65"/>
      <c r="BF574" s="65"/>
      <c r="BG574" s="65"/>
      <c r="BH574" s="65"/>
      <c r="BI574" s="65"/>
      <c r="BJ574" s="65"/>
      <c r="BK574" s="65">
        <v>0</v>
      </c>
      <c r="BL574" s="65">
        <v>0</v>
      </c>
      <c r="BM574" s="65">
        <v>0</v>
      </c>
      <c r="BN574" s="65">
        <f t="shared" si="2957"/>
        <v>0</v>
      </c>
      <c r="BO574" s="67">
        <f t="shared" si="2958"/>
        <v>0</v>
      </c>
      <c r="BP574" s="65">
        <f t="shared" si="2959"/>
        <v>0</v>
      </c>
      <c r="BQ574" s="65">
        <f t="shared" si="2960"/>
        <v>0</v>
      </c>
      <c r="BR574" s="65">
        <f t="shared" si="2961"/>
        <v>0</v>
      </c>
      <c r="BS574" s="65">
        <f t="shared" si="2962"/>
        <v>0</v>
      </c>
      <c r="BT574" s="65">
        <f t="shared" si="2963"/>
        <v>0</v>
      </c>
      <c r="BU574" s="65">
        <f t="shared" si="2964"/>
        <v>0</v>
      </c>
      <c r="BV574" s="65">
        <f t="shared" si="2965"/>
        <v>0</v>
      </c>
      <c r="BW574" s="65">
        <f t="shared" si="2966"/>
        <v>0</v>
      </c>
      <c r="BX574" s="6"/>
      <c r="BY574" s="6"/>
      <c r="BZ574" s="6"/>
      <c r="CA574" s="6"/>
      <c r="CB574" s="6"/>
      <c r="CC574" s="6"/>
      <c r="CD574" s="6"/>
      <c r="CE574" s="6"/>
      <c r="CF574" s="6"/>
      <c r="CG574" s="6"/>
    </row>
    <row r="575" spans="1:85" ht="15.75" customHeight="1">
      <c r="A575" s="68"/>
      <c r="B575" s="103"/>
      <c r="C575" s="68" t="s">
        <v>335</v>
      </c>
      <c r="D575" s="70" t="s">
        <v>691</v>
      </c>
      <c r="E575" s="56">
        <f>38000-1900</f>
        <v>36100</v>
      </c>
      <c r="F575" s="99">
        <v>0</v>
      </c>
      <c r="G575" s="58">
        <f t="shared" si="2950"/>
        <v>36100</v>
      </c>
      <c r="H575" s="99">
        <v>0</v>
      </c>
      <c r="I575" s="59">
        <f t="shared" si="2879"/>
        <v>0</v>
      </c>
      <c r="J575" s="59">
        <f t="shared" si="2705"/>
        <v>0</v>
      </c>
      <c r="K575" s="74">
        <v>0</v>
      </c>
      <c r="L575" s="74">
        <v>0</v>
      </c>
      <c r="M575" s="74">
        <v>0</v>
      </c>
      <c r="N575" s="74">
        <v>0</v>
      </c>
      <c r="O575" s="61">
        <f t="shared" ref="O575:Q575" si="2976">AA575+AD575+AG575+AJ575+AM575+AP575+AS575+AV575+AY575+BB575+BE575+BH575</f>
        <v>0</v>
      </c>
      <c r="P575" s="61">
        <f t="shared" si="2976"/>
        <v>0</v>
      </c>
      <c r="Q575" s="61">
        <f t="shared" si="2976"/>
        <v>0</v>
      </c>
      <c r="R575" s="61">
        <f t="shared" ref="R575:T575" si="2977">IF(BK575=0,SUM(AA575+AD575+AG575+AJ575+AM575+AP575+AS575+AV575+AY575+BB575+BE575+BH575),BK575)</f>
        <v>0</v>
      </c>
      <c r="S575" s="61">
        <f t="shared" si="2977"/>
        <v>0</v>
      </c>
      <c r="T575" s="61">
        <f t="shared" si="2977"/>
        <v>0</v>
      </c>
      <c r="U575" s="63">
        <f t="shared" si="2953"/>
        <v>0</v>
      </c>
      <c r="V575" s="63">
        <f t="shared" si="2954"/>
        <v>0</v>
      </c>
      <c r="W575" s="63">
        <f t="shared" si="2955"/>
        <v>0</v>
      </c>
      <c r="X575" s="64">
        <f t="shared" ref="X575:Y575" si="2978">IF(O575&gt;0,O575/K575,0)</f>
        <v>0</v>
      </c>
      <c r="Y575" s="64">
        <f t="shared" si="2978"/>
        <v>0</v>
      </c>
      <c r="Z575" s="64">
        <f t="shared" si="2708"/>
        <v>0</v>
      </c>
      <c r="AA575" s="65"/>
      <c r="AB575" s="65"/>
      <c r="AC575" s="65"/>
      <c r="AD575" s="65"/>
      <c r="AE575" s="66"/>
      <c r="AF575" s="66"/>
      <c r="AG575" s="66"/>
      <c r="AH575" s="66"/>
      <c r="AI575" s="65"/>
      <c r="AJ575" s="65"/>
      <c r="AK575" s="65"/>
      <c r="AL575" s="65"/>
      <c r="AM575" s="65"/>
      <c r="AN575" s="65"/>
      <c r="AO575" s="65"/>
      <c r="AP575" s="65"/>
      <c r="AQ575" s="65"/>
      <c r="AR575" s="65"/>
      <c r="AS575" s="65"/>
      <c r="AT575" s="65"/>
      <c r="AU575" s="65"/>
      <c r="AV575" s="65"/>
      <c r="AW575" s="65"/>
      <c r="AX575" s="65"/>
      <c r="AY575" s="65"/>
      <c r="AZ575" s="65"/>
      <c r="BA575" s="65"/>
      <c r="BB575" s="65"/>
      <c r="BC575" s="65"/>
      <c r="BD575" s="65"/>
      <c r="BE575" s="65"/>
      <c r="BF575" s="65"/>
      <c r="BG575" s="65"/>
      <c r="BH575" s="65"/>
      <c r="BI575" s="65"/>
      <c r="BJ575" s="65"/>
      <c r="BK575" s="65">
        <v>0</v>
      </c>
      <c r="BL575" s="65">
        <v>0</v>
      </c>
      <c r="BM575" s="65">
        <v>0</v>
      </c>
      <c r="BN575" s="65">
        <f t="shared" si="2957"/>
        <v>0</v>
      </c>
      <c r="BO575" s="67">
        <f t="shared" si="2958"/>
        <v>0</v>
      </c>
      <c r="BP575" s="65">
        <f t="shared" si="2959"/>
        <v>0</v>
      </c>
      <c r="BQ575" s="65">
        <f t="shared" si="2960"/>
        <v>0</v>
      </c>
      <c r="BR575" s="65">
        <f t="shared" si="2961"/>
        <v>0</v>
      </c>
      <c r="BS575" s="65">
        <f t="shared" si="2962"/>
        <v>0</v>
      </c>
      <c r="BT575" s="65">
        <f t="shared" si="2963"/>
        <v>0</v>
      </c>
      <c r="BU575" s="65">
        <f t="shared" si="2964"/>
        <v>0</v>
      </c>
      <c r="BV575" s="65">
        <f t="shared" si="2965"/>
        <v>0</v>
      </c>
      <c r="BW575" s="65">
        <f t="shared" si="2966"/>
        <v>0</v>
      </c>
      <c r="BX575" s="6"/>
      <c r="BY575" s="6"/>
      <c r="BZ575" s="6"/>
      <c r="CA575" s="6"/>
      <c r="CB575" s="6"/>
      <c r="CC575" s="6"/>
      <c r="CD575" s="6"/>
      <c r="CE575" s="6"/>
      <c r="CF575" s="6"/>
      <c r="CG575" s="6"/>
    </row>
    <row r="576" spans="1:85" ht="15.75" customHeight="1">
      <c r="A576" s="68"/>
      <c r="B576" s="103"/>
      <c r="C576" s="68" t="s">
        <v>667</v>
      </c>
      <c r="D576" s="105" t="s">
        <v>692</v>
      </c>
      <c r="E576" s="56">
        <v>9000</v>
      </c>
      <c r="F576" s="99">
        <v>0</v>
      </c>
      <c r="G576" s="58">
        <f t="shared" si="2950"/>
        <v>9000</v>
      </c>
      <c r="H576" s="99">
        <v>0</v>
      </c>
      <c r="I576" s="59">
        <f t="shared" si="2879"/>
        <v>0</v>
      </c>
      <c r="J576" s="59">
        <f t="shared" si="2705"/>
        <v>0</v>
      </c>
      <c r="K576" s="74">
        <v>0</v>
      </c>
      <c r="L576" s="74">
        <v>0</v>
      </c>
      <c r="M576" s="74">
        <v>0</v>
      </c>
      <c r="N576" s="74">
        <v>0</v>
      </c>
      <c r="O576" s="61">
        <f t="shared" ref="O576:Q576" si="2979">AA576+AD576+AG576+AJ576+AM576+AP576+AS576+AV576+AY576+BB576+BE576+BH576</f>
        <v>0</v>
      </c>
      <c r="P576" s="61">
        <f t="shared" si="2979"/>
        <v>0</v>
      </c>
      <c r="Q576" s="61">
        <f t="shared" si="2979"/>
        <v>0</v>
      </c>
      <c r="R576" s="61">
        <f t="shared" ref="R576:T576" si="2980">IF(BK576=0,SUM(AA576+AD576+AG576+AJ576+AM576+AP576+AS576+AV576+AY576+BB576+BE576+BH576),BK576)</f>
        <v>0</v>
      </c>
      <c r="S576" s="61">
        <f t="shared" si="2980"/>
        <v>0</v>
      </c>
      <c r="T576" s="61">
        <f t="shared" si="2980"/>
        <v>0</v>
      </c>
      <c r="U576" s="63">
        <f t="shared" si="2953"/>
        <v>0</v>
      </c>
      <c r="V576" s="63">
        <f t="shared" si="2954"/>
        <v>0</v>
      </c>
      <c r="W576" s="63">
        <f t="shared" si="2955"/>
        <v>0</v>
      </c>
      <c r="X576" s="64">
        <f t="shared" ref="X576:Y576" si="2981">IF(O576&gt;0,O576/K576,0)</f>
        <v>0</v>
      </c>
      <c r="Y576" s="64">
        <f t="shared" si="2981"/>
        <v>0</v>
      </c>
      <c r="Z576" s="64">
        <f t="shared" si="2708"/>
        <v>0</v>
      </c>
      <c r="AA576" s="65"/>
      <c r="AB576" s="65"/>
      <c r="AC576" s="65"/>
      <c r="AD576" s="65"/>
      <c r="AE576" s="66"/>
      <c r="AF576" s="66"/>
      <c r="AG576" s="66"/>
      <c r="AH576" s="66"/>
      <c r="AI576" s="65"/>
      <c r="AJ576" s="65"/>
      <c r="AK576" s="65"/>
      <c r="AL576" s="65"/>
      <c r="AM576" s="65"/>
      <c r="AN576" s="65"/>
      <c r="AO576" s="65"/>
      <c r="AP576" s="65"/>
      <c r="AQ576" s="65"/>
      <c r="AR576" s="65"/>
      <c r="AS576" s="65"/>
      <c r="AT576" s="65"/>
      <c r="AU576" s="65"/>
      <c r="AV576" s="65"/>
      <c r="AW576" s="65"/>
      <c r="AX576" s="65"/>
      <c r="AY576" s="65"/>
      <c r="AZ576" s="65"/>
      <c r="BA576" s="65"/>
      <c r="BB576" s="65"/>
      <c r="BC576" s="65"/>
      <c r="BD576" s="65"/>
      <c r="BE576" s="65"/>
      <c r="BF576" s="65"/>
      <c r="BG576" s="65"/>
      <c r="BH576" s="65"/>
      <c r="BI576" s="65"/>
      <c r="BJ576" s="65"/>
      <c r="BK576" s="65">
        <v>0</v>
      </c>
      <c r="BL576" s="65">
        <v>0</v>
      </c>
      <c r="BM576" s="65">
        <v>0</v>
      </c>
      <c r="BN576" s="65">
        <f t="shared" si="2957"/>
        <v>0</v>
      </c>
      <c r="BO576" s="67">
        <f t="shared" si="2958"/>
        <v>0</v>
      </c>
      <c r="BP576" s="65">
        <f t="shared" si="2959"/>
        <v>0</v>
      </c>
      <c r="BQ576" s="65">
        <f t="shared" si="2960"/>
        <v>0</v>
      </c>
      <c r="BR576" s="65">
        <f t="shared" si="2961"/>
        <v>0</v>
      </c>
      <c r="BS576" s="65">
        <f t="shared" si="2962"/>
        <v>0</v>
      </c>
      <c r="BT576" s="65">
        <f t="shared" si="2963"/>
        <v>0</v>
      </c>
      <c r="BU576" s="65">
        <f t="shared" si="2964"/>
        <v>0</v>
      </c>
      <c r="BV576" s="65">
        <f t="shared" si="2965"/>
        <v>0</v>
      </c>
      <c r="BW576" s="65">
        <f t="shared" si="2966"/>
        <v>0</v>
      </c>
      <c r="BX576" s="6"/>
      <c r="BY576" s="6"/>
      <c r="BZ576" s="6"/>
      <c r="CA576" s="6"/>
      <c r="CB576" s="6"/>
      <c r="CC576" s="6"/>
      <c r="CD576" s="6"/>
      <c r="CE576" s="6"/>
      <c r="CF576" s="6"/>
      <c r="CG576" s="6"/>
    </row>
    <row r="577" spans="1:85" ht="15.75">
      <c r="A577" s="75"/>
      <c r="B577" s="76"/>
      <c r="C577" s="77"/>
      <c r="D577" s="44" t="s">
        <v>168</v>
      </c>
      <c r="E577" s="45">
        <f t="shared" ref="E577:H577" si="2982">SUM(E578:E579)</f>
        <v>0</v>
      </c>
      <c r="F577" s="46">
        <f t="shared" si="2982"/>
        <v>0</v>
      </c>
      <c r="G577" s="46">
        <f t="shared" si="2982"/>
        <v>0</v>
      </c>
      <c r="H577" s="46">
        <f t="shared" si="2982"/>
        <v>0</v>
      </c>
      <c r="I577" s="47">
        <f t="shared" si="2879"/>
        <v>0</v>
      </c>
      <c r="J577" s="47">
        <f t="shared" si="2705"/>
        <v>0</v>
      </c>
      <c r="K577" s="46">
        <f t="shared" ref="K577:W577" si="2983">SUM(K578:K579)</f>
        <v>0</v>
      </c>
      <c r="L577" s="46">
        <f t="shared" si="2983"/>
        <v>0</v>
      </c>
      <c r="M577" s="46">
        <f t="shared" si="2983"/>
        <v>0</v>
      </c>
      <c r="N577" s="46">
        <f t="shared" si="2983"/>
        <v>0</v>
      </c>
      <c r="O577" s="46">
        <f t="shared" si="2983"/>
        <v>0</v>
      </c>
      <c r="P577" s="46">
        <f t="shared" si="2983"/>
        <v>0</v>
      </c>
      <c r="Q577" s="46">
        <f t="shared" si="2983"/>
        <v>0</v>
      </c>
      <c r="R577" s="46">
        <f t="shared" si="2983"/>
        <v>0</v>
      </c>
      <c r="S577" s="46">
        <f t="shared" si="2983"/>
        <v>0</v>
      </c>
      <c r="T577" s="46">
        <f t="shared" si="2983"/>
        <v>0</v>
      </c>
      <c r="U577" s="46">
        <f t="shared" si="2983"/>
        <v>0</v>
      </c>
      <c r="V577" s="46">
        <f t="shared" si="2983"/>
        <v>0</v>
      </c>
      <c r="W577" s="46">
        <f t="shared" si="2983"/>
        <v>0</v>
      </c>
      <c r="X577" s="50">
        <f t="shared" ref="X577:Y577" si="2984">IF(O577&gt;0,O577/K577,0)</f>
        <v>0</v>
      </c>
      <c r="Y577" s="50">
        <f t="shared" si="2984"/>
        <v>0</v>
      </c>
      <c r="Z577" s="50">
        <f t="shared" si="2708"/>
        <v>0</v>
      </c>
      <c r="AA577" s="46">
        <f t="shared" ref="AA577:BW577" si="2985">SUM(AA578:AA579)</f>
        <v>0</v>
      </c>
      <c r="AB577" s="46">
        <f t="shared" si="2985"/>
        <v>0</v>
      </c>
      <c r="AC577" s="46">
        <f t="shared" si="2985"/>
        <v>0</v>
      </c>
      <c r="AD577" s="46">
        <f t="shared" si="2985"/>
        <v>0</v>
      </c>
      <c r="AE577" s="46">
        <f t="shared" si="2985"/>
        <v>0</v>
      </c>
      <c r="AF577" s="46">
        <f t="shared" si="2985"/>
        <v>0</v>
      </c>
      <c r="AG577" s="46">
        <f t="shared" si="2985"/>
        <v>0</v>
      </c>
      <c r="AH577" s="46">
        <f t="shared" si="2985"/>
        <v>0</v>
      </c>
      <c r="AI577" s="46">
        <f t="shared" si="2985"/>
        <v>0</v>
      </c>
      <c r="AJ577" s="46">
        <f t="shared" si="2985"/>
        <v>0</v>
      </c>
      <c r="AK577" s="46">
        <f t="shared" si="2985"/>
        <v>0</v>
      </c>
      <c r="AL577" s="46">
        <f t="shared" si="2985"/>
        <v>0</v>
      </c>
      <c r="AM577" s="46">
        <f t="shared" si="2985"/>
        <v>0</v>
      </c>
      <c r="AN577" s="46">
        <f t="shared" si="2985"/>
        <v>0</v>
      </c>
      <c r="AO577" s="46">
        <f t="shared" si="2985"/>
        <v>0</v>
      </c>
      <c r="AP577" s="46">
        <f t="shared" si="2985"/>
        <v>0</v>
      </c>
      <c r="AQ577" s="46">
        <f t="shared" si="2985"/>
        <v>0</v>
      </c>
      <c r="AR577" s="46">
        <f t="shared" si="2985"/>
        <v>0</v>
      </c>
      <c r="AS577" s="46">
        <f t="shared" si="2985"/>
        <v>0</v>
      </c>
      <c r="AT577" s="46">
        <f t="shared" si="2985"/>
        <v>0</v>
      </c>
      <c r="AU577" s="46">
        <f t="shared" si="2985"/>
        <v>0</v>
      </c>
      <c r="AV577" s="46">
        <f t="shared" si="2985"/>
        <v>0</v>
      </c>
      <c r="AW577" s="46">
        <f t="shared" si="2985"/>
        <v>0</v>
      </c>
      <c r="AX577" s="46">
        <f t="shared" si="2985"/>
        <v>0</v>
      </c>
      <c r="AY577" s="46">
        <f t="shared" si="2985"/>
        <v>0</v>
      </c>
      <c r="AZ577" s="46">
        <f t="shared" si="2985"/>
        <v>0</v>
      </c>
      <c r="BA577" s="46">
        <f t="shared" si="2985"/>
        <v>0</v>
      </c>
      <c r="BB577" s="46">
        <f t="shared" si="2985"/>
        <v>0</v>
      </c>
      <c r="BC577" s="46">
        <f t="shared" si="2985"/>
        <v>0</v>
      </c>
      <c r="BD577" s="46">
        <f t="shared" si="2985"/>
        <v>0</v>
      </c>
      <c r="BE577" s="46">
        <f t="shared" si="2985"/>
        <v>0</v>
      </c>
      <c r="BF577" s="46">
        <f t="shared" si="2985"/>
        <v>0</v>
      </c>
      <c r="BG577" s="46">
        <f t="shared" si="2985"/>
        <v>0</v>
      </c>
      <c r="BH577" s="46">
        <f t="shared" si="2985"/>
        <v>0</v>
      </c>
      <c r="BI577" s="46">
        <f t="shared" si="2985"/>
        <v>0</v>
      </c>
      <c r="BJ577" s="46">
        <f t="shared" si="2985"/>
        <v>0</v>
      </c>
      <c r="BK577" s="46">
        <f t="shared" si="2985"/>
        <v>0</v>
      </c>
      <c r="BL577" s="46">
        <f t="shared" si="2985"/>
        <v>0</v>
      </c>
      <c r="BM577" s="46">
        <f t="shared" si="2985"/>
        <v>0</v>
      </c>
      <c r="BN577" s="46">
        <f t="shared" si="2985"/>
        <v>0</v>
      </c>
      <c r="BO577" s="46">
        <f t="shared" si="2985"/>
        <v>0</v>
      </c>
      <c r="BP577" s="46">
        <f t="shared" si="2985"/>
        <v>0</v>
      </c>
      <c r="BQ577" s="46">
        <f t="shared" si="2985"/>
        <v>0</v>
      </c>
      <c r="BR577" s="46">
        <f t="shared" si="2985"/>
        <v>0</v>
      </c>
      <c r="BS577" s="46">
        <f t="shared" si="2985"/>
        <v>0</v>
      </c>
      <c r="BT577" s="46">
        <f t="shared" si="2985"/>
        <v>0</v>
      </c>
      <c r="BU577" s="46">
        <f t="shared" si="2985"/>
        <v>0</v>
      </c>
      <c r="BV577" s="46">
        <f t="shared" si="2985"/>
        <v>0</v>
      </c>
      <c r="BW577" s="46">
        <f t="shared" si="2985"/>
        <v>0</v>
      </c>
      <c r="BX577" s="51"/>
      <c r="BY577" s="51"/>
      <c r="BZ577" s="51"/>
      <c r="CA577" s="51"/>
      <c r="CB577" s="51"/>
      <c r="CC577" s="51"/>
      <c r="CD577" s="51"/>
      <c r="CE577" s="51"/>
      <c r="CF577" s="51"/>
      <c r="CG577" s="51"/>
    </row>
    <row r="578" spans="1:85" ht="15.75" customHeight="1">
      <c r="A578" s="68"/>
      <c r="B578" s="103"/>
      <c r="C578" s="68" t="s">
        <v>208</v>
      </c>
      <c r="D578" s="70" t="s">
        <v>693</v>
      </c>
      <c r="E578" s="99">
        <v>0</v>
      </c>
      <c r="F578" s="99">
        <v>0</v>
      </c>
      <c r="G578" s="58">
        <f t="shared" ref="G578:G579" si="2986">E578-F578</f>
        <v>0</v>
      </c>
      <c r="H578" s="99">
        <v>0</v>
      </c>
      <c r="I578" s="59">
        <f t="shared" si="2879"/>
        <v>0</v>
      </c>
      <c r="J578" s="59">
        <f t="shared" si="2705"/>
        <v>0</v>
      </c>
      <c r="K578" s="74">
        <v>0</v>
      </c>
      <c r="L578" s="74">
        <v>0</v>
      </c>
      <c r="M578" s="74">
        <v>0</v>
      </c>
      <c r="N578" s="74">
        <v>0</v>
      </c>
      <c r="O578" s="61">
        <f t="shared" ref="O578:Q578" si="2987">AA578+AD578+AG578+AJ578+AM578+AP578+AS578+AV578+AY578+BB578+BE578+BH578</f>
        <v>0</v>
      </c>
      <c r="P578" s="61">
        <f t="shared" si="2987"/>
        <v>0</v>
      </c>
      <c r="Q578" s="61">
        <f t="shared" si="2987"/>
        <v>0</v>
      </c>
      <c r="R578" s="61">
        <f t="shared" ref="R578:T578" si="2988">IF(BK578=0,SUM(AA578+AD578+AG578+AJ578+AM578+AP578+AS578+AV578+AY578+BB578+BE578+BH578),BK578)</f>
        <v>0</v>
      </c>
      <c r="S578" s="61">
        <f t="shared" si="2988"/>
        <v>0</v>
      </c>
      <c r="T578" s="61">
        <f t="shared" si="2988"/>
        <v>0</v>
      </c>
      <c r="U578" s="208">
        <f t="shared" ref="U578:U579" si="2989">K578-O578</f>
        <v>0</v>
      </c>
      <c r="V578" s="63">
        <f t="shared" ref="V578:V579" si="2990">L578-M578-S578</f>
        <v>0</v>
      </c>
      <c r="W578" s="63">
        <f t="shared" ref="W578:W579" si="2991">N578-Q578</f>
        <v>0</v>
      </c>
      <c r="X578" s="64">
        <f t="shared" ref="X578:Y578" si="2992">IF(O578&gt;0,O578/K578,0)</f>
        <v>0</v>
      </c>
      <c r="Y578" s="64">
        <f t="shared" si="2992"/>
        <v>0</v>
      </c>
      <c r="Z578" s="64">
        <f t="shared" si="2708"/>
        <v>0</v>
      </c>
      <c r="AA578" s="65"/>
      <c r="AB578" s="65"/>
      <c r="AC578" s="65"/>
      <c r="AD578" s="65"/>
      <c r="AE578" s="66"/>
      <c r="AF578" s="66"/>
      <c r="AG578" s="66"/>
      <c r="AH578" s="66"/>
      <c r="AI578" s="65"/>
      <c r="AJ578" s="65"/>
      <c r="AK578" s="65"/>
      <c r="AL578" s="65"/>
      <c r="AM578" s="65"/>
      <c r="AN578" s="65"/>
      <c r="AO578" s="65"/>
      <c r="AP578" s="65"/>
      <c r="AQ578" s="65"/>
      <c r="AR578" s="65"/>
      <c r="AS578" s="65"/>
      <c r="AT578" s="65"/>
      <c r="AU578" s="65"/>
      <c r="AV578" s="65"/>
      <c r="AW578" s="65"/>
      <c r="AX578" s="65"/>
      <c r="AY578" s="65"/>
      <c r="AZ578" s="65"/>
      <c r="BA578" s="65"/>
      <c r="BB578" s="65"/>
      <c r="BC578" s="65"/>
      <c r="BD578" s="65"/>
      <c r="BE578" s="65"/>
      <c r="BF578" s="65"/>
      <c r="BG578" s="65"/>
      <c r="BH578" s="65"/>
      <c r="BI578" s="65"/>
      <c r="BJ578" s="65"/>
      <c r="BK578" s="65">
        <v>0</v>
      </c>
      <c r="BL578" s="65">
        <v>0</v>
      </c>
      <c r="BM578" s="65">
        <v>0</v>
      </c>
      <c r="BN578" s="65">
        <f t="shared" ref="BN578:BN579" si="2993">IF(O578-BK578&gt;0,O578-BK578,0)</f>
        <v>0</v>
      </c>
      <c r="BO578" s="67">
        <f t="shared" ref="BO578:BO579" si="2994">IF(Q578-BM578&gt;0,Q578-BM578,0)</f>
        <v>0</v>
      </c>
      <c r="BP578" s="65">
        <f t="shared" ref="BP578:BP579" si="2995">IF(BN578+BO578&gt;0,BN578+BO578,0)</f>
        <v>0</v>
      </c>
      <c r="BQ578" s="65">
        <f t="shared" ref="BQ578:BQ579" si="2996">IF(U578=0,0,U578)</f>
        <v>0</v>
      </c>
      <c r="BR578" s="65">
        <f t="shared" ref="BR578:BR579" si="2997">IF(W578=0,0,W578)</f>
        <v>0</v>
      </c>
      <c r="BS578" s="65">
        <f t="shared" ref="BS578:BS579" si="2998">IF(BQ578+BR578&gt;0,BQ578+BR578,0)</f>
        <v>0</v>
      </c>
      <c r="BT578" s="65">
        <f t="shared" ref="BT578:BT579" si="2999">IF(V578&gt;0,V578,0)</f>
        <v>0</v>
      </c>
      <c r="BU578" s="65">
        <f t="shared" ref="BU578:BU579" si="3000">IF(BP578=0,0,BP578)</f>
        <v>0</v>
      </c>
      <c r="BV578" s="65">
        <f t="shared" ref="BV578:BV579" si="3001">IF(BS578=0,0,BS578)</f>
        <v>0</v>
      </c>
      <c r="BW578" s="65">
        <f t="shared" ref="BW578:BW579" si="3002">IF(BP578+BT578+BV578&gt;0,BP578+BT578+BV578,0)</f>
        <v>0</v>
      </c>
      <c r="BX578" s="6"/>
      <c r="BY578" s="6"/>
      <c r="BZ578" s="6"/>
      <c r="CA578" s="6"/>
      <c r="CB578" s="6"/>
      <c r="CC578" s="6"/>
      <c r="CD578" s="6"/>
      <c r="CE578" s="6"/>
      <c r="CF578" s="6"/>
      <c r="CG578" s="6"/>
    </row>
    <row r="579" spans="1:85" ht="15.75" customHeight="1">
      <c r="A579" s="71"/>
      <c r="B579" s="72"/>
      <c r="C579" s="71" t="s">
        <v>208</v>
      </c>
      <c r="D579" s="73" t="s">
        <v>694</v>
      </c>
      <c r="E579" s="99">
        <v>0</v>
      </c>
      <c r="F579" s="99">
        <v>0</v>
      </c>
      <c r="G579" s="58">
        <f t="shared" si="2986"/>
        <v>0</v>
      </c>
      <c r="H579" s="99">
        <v>0</v>
      </c>
      <c r="I579" s="59"/>
      <c r="J579" s="59">
        <f t="shared" si="2705"/>
        <v>0</v>
      </c>
      <c r="K579" s="74">
        <v>0</v>
      </c>
      <c r="L579" s="74">
        <v>0</v>
      </c>
      <c r="M579" s="74">
        <v>0</v>
      </c>
      <c r="N579" s="74">
        <v>0</v>
      </c>
      <c r="O579" s="61">
        <f t="shared" ref="O579:Q579" si="3003">AA579+AD579+AG579+AJ579+AM579+AP579+AS579+AV579+AY579+BB579+BE579+BH579</f>
        <v>0</v>
      </c>
      <c r="P579" s="61">
        <f t="shared" si="3003"/>
        <v>0</v>
      </c>
      <c r="Q579" s="61">
        <f t="shared" si="3003"/>
        <v>0</v>
      </c>
      <c r="R579" s="61">
        <f t="shared" ref="R579:T579" si="3004">IF(BK579=0,SUM(AA579+AD579+AG579+AJ579+AM579+AP579+AS579+AV579+AY579+BB579+BE579+BH579),BK579)</f>
        <v>0</v>
      </c>
      <c r="S579" s="61">
        <f t="shared" si="3004"/>
        <v>0</v>
      </c>
      <c r="T579" s="61">
        <f t="shared" si="3004"/>
        <v>0</v>
      </c>
      <c r="U579" s="208">
        <f t="shared" si="2989"/>
        <v>0</v>
      </c>
      <c r="V579" s="63">
        <f t="shared" si="2990"/>
        <v>0</v>
      </c>
      <c r="W579" s="63">
        <f t="shared" si="2991"/>
        <v>0</v>
      </c>
      <c r="X579" s="64">
        <f t="shared" ref="X579:Y579" si="3005">IF(O579&gt;0,O579/K579,0)</f>
        <v>0</v>
      </c>
      <c r="Y579" s="64">
        <f t="shared" si="3005"/>
        <v>0</v>
      </c>
      <c r="Z579" s="64">
        <f t="shared" si="2708"/>
        <v>0</v>
      </c>
      <c r="AA579" s="65"/>
      <c r="AB579" s="65"/>
      <c r="AC579" s="65"/>
      <c r="AD579" s="65"/>
      <c r="AE579" s="66"/>
      <c r="AF579" s="66"/>
      <c r="AG579" s="66"/>
      <c r="AH579" s="66"/>
      <c r="AI579" s="65"/>
      <c r="AJ579" s="65"/>
      <c r="AK579" s="65"/>
      <c r="AL579" s="65"/>
      <c r="AM579" s="65"/>
      <c r="AN579" s="65"/>
      <c r="AO579" s="65"/>
      <c r="AP579" s="65"/>
      <c r="AQ579" s="65"/>
      <c r="AR579" s="65"/>
      <c r="AS579" s="65"/>
      <c r="AT579" s="65"/>
      <c r="AU579" s="65"/>
      <c r="AV579" s="65"/>
      <c r="AW579" s="65"/>
      <c r="AX579" s="65"/>
      <c r="AY579" s="65"/>
      <c r="AZ579" s="65"/>
      <c r="BA579" s="65"/>
      <c r="BB579" s="65"/>
      <c r="BC579" s="65"/>
      <c r="BD579" s="65"/>
      <c r="BE579" s="65"/>
      <c r="BF579" s="65"/>
      <c r="BG579" s="65"/>
      <c r="BH579" s="65"/>
      <c r="BI579" s="65"/>
      <c r="BJ579" s="65"/>
      <c r="BK579" s="65">
        <v>0</v>
      </c>
      <c r="BL579" s="65">
        <v>0</v>
      </c>
      <c r="BM579" s="65">
        <v>0</v>
      </c>
      <c r="BN579" s="65">
        <f t="shared" si="2993"/>
        <v>0</v>
      </c>
      <c r="BO579" s="67">
        <f t="shared" si="2994"/>
        <v>0</v>
      </c>
      <c r="BP579" s="65">
        <f t="shared" si="2995"/>
        <v>0</v>
      </c>
      <c r="BQ579" s="65">
        <f t="shared" si="2996"/>
        <v>0</v>
      </c>
      <c r="BR579" s="65">
        <f t="shared" si="2997"/>
        <v>0</v>
      </c>
      <c r="BS579" s="65">
        <f t="shared" si="2998"/>
        <v>0</v>
      </c>
      <c r="BT579" s="65">
        <f t="shared" si="2999"/>
        <v>0</v>
      </c>
      <c r="BU579" s="65">
        <f t="shared" si="3000"/>
        <v>0</v>
      </c>
      <c r="BV579" s="65">
        <f t="shared" si="3001"/>
        <v>0</v>
      </c>
      <c r="BW579" s="65">
        <f t="shared" si="3002"/>
        <v>0</v>
      </c>
      <c r="BX579" s="6"/>
      <c r="BY579" s="6"/>
      <c r="BZ579" s="6"/>
      <c r="CA579" s="6"/>
      <c r="CB579" s="6"/>
      <c r="CC579" s="6"/>
      <c r="CD579" s="6"/>
      <c r="CE579" s="6"/>
      <c r="CF579" s="6"/>
      <c r="CG579" s="6"/>
    </row>
    <row r="580" spans="1:85" ht="15.75" customHeight="1">
      <c r="A580" s="325"/>
      <c r="B580" s="326"/>
      <c r="C580" s="327"/>
      <c r="D580" s="328" t="s">
        <v>695</v>
      </c>
      <c r="E580" s="329">
        <f t="shared" ref="E580:H580" si="3006">E581+E588+E590+E593+E596</f>
        <v>79000</v>
      </c>
      <c r="F580" s="329">
        <f t="shared" si="3006"/>
        <v>0</v>
      </c>
      <c r="G580" s="329">
        <f t="shared" si="3006"/>
        <v>79000</v>
      </c>
      <c r="H580" s="329">
        <f t="shared" si="3006"/>
        <v>0</v>
      </c>
      <c r="I580" s="330">
        <f t="shared" ref="I580:I760" si="3007">IF(G580&gt;0,K580/G580,0)</f>
        <v>0</v>
      </c>
      <c r="J580" s="330">
        <f t="shared" si="2705"/>
        <v>0</v>
      </c>
      <c r="K580" s="329">
        <f t="shared" ref="K580:W580" si="3008">K581+K588+K590+K593+K596</f>
        <v>0</v>
      </c>
      <c r="L580" s="329">
        <f t="shared" si="3008"/>
        <v>1320</v>
      </c>
      <c r="M580" s="329">
        <f t="shared" si="3008"/>
        <v>0</v>
      </c>
      <c r="N580" s="329">
        <f t="shared" si="3008"/>
        <v>7000</v>
      </c>
      <c r="O580" s="329">
        <f t="shared" si="3008"/>
        <v>0</v>
      </c>
      <c r="P580" s="329">
        <f t="shared" si="3008"/>
        <v>1320</v>
      </c>
      <c r="Q580" s="329">
        <f t="shared" si="3008"/>
        <v>0</v>
      </c>
      <c r="R580" s="329">
        <f t="shared" si="3008"/>
        <v>0</v>
      </c>
      <c r="S580" s="329">
        <f t="shared" si="3008"/>
        <v>1320</v>
      </c>
      <c r="T580" s="329">
        <f t="shared" si="3008"/>
        <v>0</v>
      </c>
      <c r="U580" s="329">
        <f t="shared" si="3008"/>
        <v>0</v>
      </c>
      <c r="V580" s="329">
        <f t="shared" si="3008"/>
        <v>0</v>
      </c>
      <c r="W580" s="329">
        <f t="shared" si="3008"/>
        <v>7000</v>
      </c>
      <c r="X580" s="339">
        <f t="shared" ref="X580:Y580" si="3009">IF(O580&gt;0,O580/K580,0)</f>
        <v>0</v>
      </c>
      <c r="Y580" s="339">
        <f t="shared" si="3009"/>
        <v>1</v>
      </c>
      <c r="Z580" s="339">
        <f t="shared" si="2708"/>
        <v>0</v>
      </c>
      <c r="AA580" s="329">
        <f t="shared" ref="AA580:BW580" si="3010">AA581+AA588+AA590+AA593+AA596</f>
        <v>0</v>
      </c>
      <c r="AB580" s="329">
        <f t="shared" si="3010"/>
        <v>0</v>
      </c>
      <c r="AC580" s="329">
        <f t="shared" si="3010"/>
        <v>0</v>
      </c>
      <c r="AD580" s="329">
        <f t="shared" si="3010"/>
        <v>0</v>
      </c>
      <c r="AE580" s="329">
        <f t="shared" si="3010"/>
        <v>0</v>
      </c>
      <c r="AF580" s="329">
        <f t="shared" si="3010"/>
        <v>0</v>
      </c>
      <c r="AG580" s="329">
        <f t="shared" si="3010"/>
        <v>0</v>
      </c>
      <c r="AH580" s="329">
        <f t="shared" si="3010"/>
        <v>0</v>
      </c>
      <c r="AI580" s="329">
        <f t="shared" si="3010"/>
        <v>0</v>
      </c>
      <c r="AJ580" s="329">
        <f t="shared" si="3010"/>
        <v>0</v>
      </c>
      <c r="AK580" s="329">
        <f t="shared" si="3010"/>
        <v>1320</v>
      </c>
      <c r="AL580" s="329">
        <f t="shared" si="3010"/>
        <v>0</v>
      </c>
      <c r="AM580" s="329">
        <f t="shared" si="3010"/>
        <v>0</v>
      </c>
      <c r="AN580" s="329">
        <f t="shared" si="3010"/>
        <v>0</v>
      </c>
      <c r="AO580" s="329">
        <f t="shared" si="3010"/>
        <v>0</v>
      </c>
      <c r="AP580" s="329">
        <f t="shared" si="3010"/>
        <v>0</v>
      </c>
      <c r="AQ580" s="329">
        <f t="shared" si="3010"/>
        <v>0</v>
      </c>
      <c r="AR580" s="329">
        <f t="shared" si="3010"/>
        <v>0</v>
      </c>
      <c r="AS580" s="329">
        <f t="shared" si="3010"/>
        <v>0</v>
      </c>
      <c r="AT580" s="329">
        <f t="shared" si="3010"/>
        <v>0</v>
      </c>
      <c r="AU580" s="329">
        <f t="shared" si="3010"/>
        <v>0</v>
      </c>
      <c r="AV580" s="329">
        <f t="shared" si="3010"/>
        <v>0</v>
      </c>
      <c r="AW580" s="329">
        <f t="shared" si="3010"/>
        <v>0</v>
      </c>
      <c r="AX580" s="329">
        <f t="shared" si="3010"/>
        <v>0</v>
      </c>
      <c r="AY580" s="329">
        <f t="shared" si="3010"/>
        <v>0</v>
      </c>
      <c r="AZ580" s="329">
        <f t="shared" si="3010"/>
        <v>0</v>
      </c>
      <c r="BA580" s="329">
        <f t="shared" si="3010"/>
        <v>0</v>
      </c>
      <c r="BB580" s="329">
        <f t="shared" si="3010"/>
        <v>0</v>
      </c>
      <c r="BC580" s="329">
        <f t="shared" si="3010"/>
        <v>0</v>
      </c>
      <c r="BD580" s="329">
        <f t="shared" si="3010"/>
        <v>0</v>
      </c>
      <c r="BE580" s="329">
        <f t="shared" si="3010"/>
        <v>0</v>
      </c>
      <c r="BF580" s="329">
        <f t="shared" si="3010"/>
        <v>0</v>
      </c>
      <c r="BG580" s="329">
        <f t="shared" si="3010"/>
        <v>0</v>
      </c>
      <c r="BH580" s="329">
        <f t="shared" si="3010"/>
        <v>0</v>
      </c>
      <c r="BI580" s="329">
        <f t="shared" si="3010"/>
        <v>0</v>
      </c>
      <c r="BJ580" s="329">
        <f t="shared" si="3010"/>
        <v>0</v>
      </c>
      <c r="BK580" s="329">
        <f t="shared" si="3010"/>
        <v>0</v>
      </c>
      <c r="BL580" s="329">
        <f t="shared" si="3010"/>
        <v>0</v>
      </c>
      <c r="BM580" s="329">
        <f t="shared" si="3010"/>
        <v>0</v>
      </c>
      <c r="BN580" s="329">
        <f t="shared" si="3010"/>
        <v>0</v>
      </c>
      <c r="BO580" s="329">
        <f t="shared" si="3010"/>
        <v>0</v>
      </c>
      <c r="BP580" s="329">
        <f t="shared" si="3010"/>
        <v>0</v>
      </c>
      <c r="BQ580" s="329">
        <f t="shared" si="3010"/>
        <v>0</v>
      </c>
      <c r="BR580" s="329">
        <f t="shared" si="3010"/>
        <v>7000</v>
      </c>
      <c r="BS580" s="329">
        <f t="shared" si="3010"/>
        <v>7000</v>
      </c>
      <c r="BT580" s="329">
        <f t="shared" si="3010"/>
        <v>0</v>
      </c>
      <c r="BU580" s="329">
        <f t="shared" si="3010"/>
        <v>0</v>
      </c>
      <c r="BV580" s="329">
        <f t="shared" si="3010"/>
        <v>7000</v>
      </c>
      <c r="BW580" s="329">
        <f t="shared" si="3010"/>
        <v>7000</v>
      </c>
      <c r="BX580" s="6"/>
      <c r="BY580" s="6"/>
      <c r="BZ580" s="6"/>
      <c r="CA580" s="6"/>
      <c r="CB580" s="6"/>
      <c r="CC580" s="6"/>
      <c r="CD580" s="6"/>
      <c r="CE580" s="6"/>
      <c r="CF580" s="6"/>
      <c r="CG580" s="6"/>
    </row>
    <row r="581" spans="1:85" ht="15.75">
      <c r="A581" s="41"/>
      <c r="B581" s="42"/>
      <c r="C581" s="43"/>
      <c r="D581" s="44" t="s">
        <v>67</v>
      </c>
      <c r="E581" s="45">
        <f t="shared" ref="E581:H581" si="3011">SUM(E582:E587)</f>
        <v>14000</v>
      </c>
      <c r="F581" s="45">
        <f t="shared" si="3011"/>
        <v>0</v>
      </c>
      <c r="G581" s="45">
        <f t="shared" si="3011"/>
        <v>14000</v>
      </c>
      <c r="H581" s="45">
        <f t="shared" si="3011"/>
        <v>0</v>
      </c>
      <c r="I581" s="47">
        <f t="shared" si="3007"/>
        <v>0</v>
      </c>
      <c r="J581" s="47">
        <f t="shared" si="2705"/>
        <v>0</v>
      </c>
      <c r="K581" s="45">
        <f t="shared" ref="K581:W581" si="3012">SUM(K582:K587)</f>
        <v>0</v>
      </c>
      <c r="L581" s="45">
        <f t="shared" si="3012"/>
        <v>0</v>
      </c>
      <c r="M581" s="45">
        <f t="shared" si="3012"/>
        <v>0</v>
      </c>
      <c r="N581" s="45">
        <f t="shared" si="3012"/>
        <v>0</v>
      </c>
      <c r="O581" s="45">
        <f t="shared" si="3012"/>
        <v>0</v>
      </c>
      <c r="P581" s="45">
        <f t="shared" si="3012"/>
        <v>0</v>
      </c>
      <c r="Q581" s="45">
        <f t="shared" si="3012"/>
        <v>0</v>
      </c>
      <c r="R581" s="45">
        <f t="shared" si="3012"/>
        <v>0</v>
      </c>
      <c r="S581" s="45">
        <f t="shared" si="3012"/>
        <v>0</v>
      </c>
      <c r="T581" s="45">
        <f t="shared" si="3012"/>
        <v>0</v>
      </c>
      <c r="U581" s="45">
        <f t="shared" si="3012"/>
        <v>0</v>
      </c>
      <c r="V581" s="45">
        <f t="shared" si="3012"/>
        <v>0</v>
      </c>
      <c r="W581" s="45">
        <f t="shared" si="3012"/>
        <v>0</v>
      </c>
      <c r="X581" s="50">
        <f t="shared" ref="X581:Y581" si="3013">IF(O581&gt;0,O581/K581,0)</f>
        <v>0</v>
      </c>
      <c r="Y581" s="50">
        <f t="shared" si="3013"/>
        <v>0</v>
      </c>
      <c r="Z581" s="50">
        <f t="shared" si="2708"/>
        <v>0</v>
      </c>
      <c r="AA581" s="45">
        <f t="shared" ref="AA581:BW581" si="3014">SUM(AA582:AA587)</f>
        <v>0</v>
      </c>
      <c r="AB581" s="45">
        <f t="shared" si="3014"/>
        <v>0</v>
      </c>
      <c r="AC581" s="45">
        <f t="shared" si="3014"/>
        <v>0</v>
      </c>
      <c r="AD581" s="45">
        <f t="shared" si="3014"/>
        <v>0</v>
      </c>
      <c r="AE581" s="45">
        <f t="shared" si="3014"/>
        <v>0</v>
      </c>
      <c r="AF581" s="45">
        <f t="shared" si="3014"/>
        <v>0</v>
      </c>
      <c r="AG581" s="45">
        <f t="shared" si="3014"/>
        <v>0</v>
      </c>
      <c r="AH581" s="45">
        <f t="shared" si="3014"/>
        <v>0</v>
      </c>
      <c r="AI581" s="45">
        <f t="shared" si="3014"/>
        <v>0</v>
      </c>
      <c r="AJ581" s="45">
        <f t="shared" si="3014"/>
        <v>0</v>
      </c>
      <c r="AK581" s="45">
        <f t="shared" si="3014"/>
        <v>0</v>
      </c>
      <c r="AL581" s="45">
        <f t="shared" si="3014"/>
        <v>0</v>
      </c>
      <c r="AM581" s="45">
        <f t="shared" si="3014"/>
        <v>0</v>
      </c>
      <c r="AN581" s="45">
        <f t="shared" si="3014"/>
        <v>0</v>
      </c>
      <c r="AO581" s="45">
        <f t="shared" si="3014"/>
        <v>0</v>
      </c>
      <c r="AP581" s="45">
        <f t="shared" si="3014"/>
        <v>0</v>
      </c>
      <c r="AQ581" s="45">
        <f t="shared" si="3014"/>
        <v>0</v>
      </c>
      <c r="AR581" s="45">
        <f t="shared" si="3014"/>
        <v>0</v>
      </c>
      <c r="AS581" s="45">
        <f t="shared" si="3014"/>
        <v>0</v>
      </c>
      <c r="AT581" s="45">
        <f t="shared" si="3014"/>
        <v>0</v>
      </c>
      <c r="AU581" s="45">
        <f t="shared" si="3014"/>
        <v>0</v>
      </c>
      <c r="AV581" s="45">
        <f t="shared" si="3014"/>
        <v>0</v>
      </c>
      <c r="AW581" s="45">
        <f t="shared" si="3014"/>
        <v>0</v>
      </c>
      <c r="AX581" s="45">
        <f t="shared" si="3014"/>
        <v>0</v>
      </c>
      <c r="AY581" s="45">
        <f t="shared" si="3014"/>
        <v>0</v>
      </c>
      <c r="AZ581" s="45">
        <f t="shared" si="3014"/>
        <v>0</v>
      </c>
      <c r="BA581" s="45">
        <f t="shared" si="3014"/>
        <v>0</v>
      </c>
      <c r="BB581" s="45">
        <f t="shared" si="3014"/>
        <v>0</v>
      </c>
      <c r="BC581" s="45">
        <f t="shared" si="3014"/>
        <v>0</v>
      </c>
      <c r="BD581" s="45">
        <f t="shared" si="3014"/>
        <v>0</v>
      </c>
      <c r="BE581" s="45">
        <f t="shared" si="3014"/>
        <v>0</v>
      </c>
      <c r="BF581" s="45">
        <f t="shared" si="3014"/>
        <v>0</v>
      </c>
      <c r="BG581" s="45">
        <f t="shared" si="3014"/>
        <v>0</v>
      </c>
      <c r="BH581" s="45">
        <f t="shared" si="3014"/>
        <v>0</v>
      </c>
      <c r="BI581" s="45">
        <f t="shared" si="3014"/>
        <v>0</v>
      </c>
      <c r="BJ581" s="45">
        <f t="shared" si="3014"/>
        <v>0</v>
      </c>
      <c r="BK581" s="45">
        <f t="shared" si="3014"/>
        <v>0</v>
      </c>
      <c r="BL581" s="45">
        <f t="shared" si="3014"/>
        <v>0</v>
      </c>
      <c r="BM581" s="45">
        <f t="shared" si="3014"/>
        <v>0</v>
      </c>
      <c r="BN581" s="45">
        <f t="shared" si="3014"/>
        <v>0</v>
      </c>
      <c r="BO581" s="45">
        <f t="shared" si="3014"/>
        <v>0</v>
      </c>
      <c r="BP581" s="45">
        <f t="shared" si="3014"/>
        <v>0</v>
      </c>
      <c r="BQ581" s="45">
        <f t="shared" si="3014"/>
        <v>0</v>
      </c>
      <c r="BR581" s="45">
        <f t="shared" si="3014"/>
        <v>0</v>
      </c>
      <c r="BS581" s="45">
        <f t="shared" si="3014"/>
        <v>0</v>
      </c>
      <c r="BT581" s="45">
        <f t="shared" si="3014"/>
        <v>0</v>
      </c>
      <c r="BU581" s="45">
        <f t="shared" si="3014"/>
        <v>0</v>
      </c>
      <c r="BV581" s="45">
        <f t="shared" si="3014"/>
        <v>0</v>
      </c>
      <c r="BW581" s="45">
        <f t="shared" si="3014"/>
        <v>0</v>
      </c>
      <c r="BX581" s="51"/>
      <c r="BY581" s="51"/>
      <c r="BZ581" s="51"/>
      <c r="CA581" s="51"/>
      <c r="CB581" s="51"/>
      <c r="CC581" s="51"/>
      <c r="CD581" s="51"/>
      <c r="CE581" s="51"/>
      <c r="CF581" s="51"/>
      <c r="CG581" s="51"/>
    </row>
    <row r="582" spans="1:85" ht="15.75" customHeight="1">
      <c r="A582" s="68"/>
      <c r="B582" s="103"/>
      <c r="C582" s="68" t="s">
        <v>69</v>
      </c>
      <c r="D582" s="70" t="s">
        <v>685</v>
      </c>
      <c r="E582" s="56">
        <f>3000</f>
        <v>3000</v>
      </c>
      <c r="F582" s="99">
        <v>0</v>
      </c>
      <c r="G582" s="58">
        <f t="shared" ref="G582:G587" si="3015">E582-F582</f>
        <v>3000</v>
      </c>
      <c r="H582" s="99">
        <v>0</v>
      </c>
      <c r="I582" s="59">
        <f t="shared" si="3007"/>
        <v>0</v>
      </c>
      <c r="J582" s="59">
        <f t="shared" si="2705"/>
        <v>0</v>
      </c>
      <c r="K582" s="74">
        <v>0</v>
      </c>
      <c r="L582" s="74">
        <v>0</v>
      </c>
      <c r="M582" s="74">
        <v>0</v>
      </c>
      <c r="N582" s="74">
        <v>0</v>
      </c>
      <c r="O582" s="61">
        <f t="shared" ref="O582:Q582" si="3016">AA582+AD582+AG582+AJ582+AM582+AP582+AS582+AV582+AY582+BB582+BE582+BH582</f>
        <v>0</v>
      </c>
      <c r="P582" s="61">
        <f t="shared" si="3016"/>
        <v>0</v>
      </c>
      <c r="Q582" s="61">
        <f t="shared" si="3016"/>
        <v>0</v>
      </c>
      <c r="R582" s="61">
        <f t="shared" ref="R582:T582" si="3017">IF(BK582=0,SUM(AA582+AD582+AG582+AJ582+AM582+AP582+AS582+AV582+AY582+BB582+BE582+BH582),BK582)</f>
        <v>0</v>
      </c>
      <c r="S582" s="61">
        <f t="shared" si="3017"/>
        <v>0</v>
      </c>
      <c r="T582" s="61">
        <f t="shared" si="3017"/>
        <v>0</v>
      </c>
      <c r="U582" s="63">
        <f t="shared" ref="U582:U587" si="3018">K582-O582</f>
        <v>0</v>
      </c>
      <c r="V582" s="63">
        <f t="shared" ref="V582:V587" si="3019">L582-M582-S582</f>
        <v>0</v>
      </c>
      <c r="W582" s="63">
        <f t="shared" ref="W582:W587" si="3020">N582-Q582</f>
        <v>0</v>
      </c>
      <c r="X582" s="64">
        <f t="shared" ref="X582:Y582" si="3021">IF(O582&gt;0,O582/K582,0)</f>
        <v>0</v>
      </c>
      <c r="Y582" s="64">
        <f t="shared" si="3021"/>
        <v>0</v>
      </c>
      <c r="Z582" s="64">
        <f t="shared" si="2708"/>
        <v>0</v>
      </c>
      <c r="AA582" s="65"/>
      <c r="AB582" s="65"/>
      <c r="AC582" s="65"/>
      <c r="AD582" s="65"/>
      <c r="AE582" s="66"/>
      <c r="AF582" s="66"/>
      <c r="AG582" s="66"/>
      <c r="AH582" s="66"/>
      <c r="AI582" s="65"/>
      <c r="AJ582" s="65"/>
      <c r="AK582" s="65"/>
      <c r="AL582" s="65"/>
      <c r="AM582" s="65"/>
      <c r="AN582" s="65"/>
      <c r="AO582" s="65"/>
      <c r="AP582" s="65"/>
      <c r="AQ582" s="65"/>
      <c r="AR582" s="65"/>
      <c r="AS582" s="65"/>
      <c r="AT582" s="65"/>
      <c r="AU582" s="65"/>
      <c r="AV582" s="65"/>
      <c r="AW582" s="65"/>
      <c r="AX582" s="65"/>
      <c r="AY582" s="65"/>
      <c r="AZ582" s="65"/>
      <c r="BA582" s="65"/>
      <c r="BB582" s="65"/>
      <c r="BC582" s="65"/>
      <c r="BD582" s="65"/>
      <c r="BE582" s="65"/>
      <c r="BF582" s="65"/>
      <c r="BG582" s="65"/>
      <c r="BH582" s="65"/>
      <c r="BI582" s="65"/>
      <c r="BJ582" s="65"/>
      <c r="BK582" s="65">
        <v>0</v>
      </c>
      <c r="BL582" s="65">
        <v>0</v>
      </c>
      <c r="BM582" s="65">
        <v>0</v>
      </c>
      <c r="BN582" s="65">
        <f t="shared" ref="BN582:BN587" si="3022">IF(O582-BK582&gt;0,O582-BK582,0)</f>
        <v>0</v>
      </c>
      <c r="BO582" s="67">
        <f t="shared" ref="BO582:BO587" si="3023">IF(Q582-BM582&gt;0,Q582-BM582,0)</f>
        <v>0</v>
      </c>
      <c r="BP582" s="65">
        <f t="shared" ref="BP582:BP587" si="3024">IF(BN582+BO582&gt;0,BN582+BO582,0)</f>
        <v>0</v>
      </c>
      <c r="BQ582" s="65">
        <f t="shared" ref="BQ582:BQ587" si="3025">IF(U582=0,0,U582)</f>
        <v>0</v>
      </c>
      <c r="BR582" s="65">
        <f t="shared" ref="BR582:BR587" si="3026">IF(W582=0,0,W582)</f>
        <v>0</v>
      </c>
      <c r="BS582" s="65">
        <f t="shared" ref="BS582:BS587" si="3027">IF(BQ582+BR582&gt;0,BQ582+BR582,0)</f>
        <v>0</v>
      </c>
      <c r="BT582" s="65">
        <f t="shared" ref="BT582:BT587" si="3028">IF(V582&gt;0,V582,0)</f>
        <v>0</v>
      </c>
      <c r="BU582" s="65">
        <f t="shared" ref="BU582:BU587" si="3029">IF(BP582=0,0,BP582)</f>
        <v>0</v>
      </c>
      <c r="BV582" s="65">
        <f t="shared" ref="BV582:BV587" si="3030">IF(BS582=0,0,BS582)</f>
        <v>0</v>
      </c>
      <c r="BW582" s="65">
        <f t="shared" ref="BW582:BW587" si="3031">IF(BP582+BT582+BV582&gt;0,BP582+BT582+BV582,0)</f>
        <v>0</v>
      </c>
      <c r="BX582" s="6"/>
      <c r="BY582" s="6"/>
      <c r="BZ582" s="6"/>
      <c r="CA582" s="6"/>
      <c r="CB582" s="6"/>
      <c r="CC582" s="6"/>
      <c r="CD582" s="6"/>
      <c r="CE582" s="6"/>
      <c r="CF582" s="6"/>
      <c r="CG582" s="6"/>
    </row>
    <row r="583" spans="1:85" ht="15.75" customHeight="1">
      <c r="A583" s="68"/>
      <c r="B583" s="103"/>
      <c r="C583" s="68" t="s">
        <v>69</v>
      </c>
      <c r="D583" s="70" t="s">
        <v>696</v>
      </c>
      <c r="E583" s="56">
        <v>1000</v>
      </c>
      <c r="F583" s="99">
        <v>0</v>
      </c>
      <c r="G583" s="58">
        <f t="shared" si="3015"/>
        <v>1000</v>
      </c>
      <c r="H583" s="99">
        <v>0</v>
      </c>
      <c r="I583" s="59">
        <f t="shared" si="3007"/>
        <v>0</v>
      </c>
      <c r="J583" s="59">
        <f t="shared" si="2705"/>
        <v>0</v>
      </c>
      <c r="K583" s="74">
        <v>0</v>
      </c>
      <c r="L583" s="74">
        <v>0</v>
      </c>
      <c r="M583" s="74">
        <v>0</v>
      </c>
      <c r="N583" s="74">
        <v>0</v>
      </c>
      <c r="O583" s="61">
        <f t="shared" ref="O583:Q583" si="3032">AA583+AD583+AG583+AJ583+AM583+AP583+AS583+AV583+AY583+BB583+BE583+BH583</f>
        <v>0</v>
      </c>
      <c r="P583" s="61">
        <f t="shared" si="3032"/>
        <v>0</v>
      </c>
      <c r="Q583" s="61">
        <f t="shared" si="3032"/>
        <v>0</v>
      </c>
      <c r="R583" s="61">
        <f t="shared" ref="R583:T583" si="3033">IF(BK583=0,SUM(AA583+AD583+AG583+AJ583+AM583+AP583+AS583+AV583+AY583+BB583+BE583+BH583),BK583)</f>
        <v>0</v>
      </c>
      <c r="S583" s="61">
        <f t="shared" si="3033"/>
        <v>0</v>
      </c>
      <c r="T583" s="61">
        <f t="shared" si="3033"/>
        <v>0</v>
      </c>
      <c r="U583" s="63">
        <f t="shared" si="3018"/>
        <v>0</v>
      </c>
      <c r="V583" s="63">
        <f t="shared" si="3019"/>
        <v>0</v>
      </c>
      <c r="W583" s="63">
        <f t="shared" si="3020"/>
        <v>0</v>
      </c>
      <c r="X583" s="64">
        <f t="shared" ref="X583:Y583" si="3034">IF(O583&gt;0,O583/K583,0)</f>
        <v>0</v>
      </c>
      <c r="Y583" s="64">
        <f t="shared" si="3034"/>
        <v>0</v>
      </c>
      <c r="Z583" s="64">
        <f t="shared" si="2708"/>
        <v>0</v>
      </c>
      <c r="AA583" s="65"/>
      <c r="AB583" s="65"/>
      <c r="AC583" s="65"/>
      <c r="AD583" s="65"/>
      <c r="AE583" s="66"/>
      <c r="AF583" s="66"/>
      <c r="AG583" s="66"/>
      <c r="AH583" s="66"/>
      <c r="AI583" s="65"/>
      <c r="AJ583" s="65"/>
      <c r="AK583" s="65"/>
      <c r="AL583" s="65"/>
      <c r="AM583" s="65"/>
      <c r="AN583" s="65"/>
      <c r="AO583" s="65"/>
      <c r="AP583" s="65"/>
      <c r="AQ583" s="65"/>
      <c r="AR583" s="65"/>
      <c r="AS583" s="65"/>
      <c r="AT583" s="65"/>
      <c r="AU583" s="65"/>
      <c r="AV583" s="65"/>
      <c r="AW583" s="65"/>
      <c r="AX583" s="65"/>
      <c r="AY583" s="65"/>
      <c r="AZ583" s="65"/>
      <c r="BA583" s="65"/>
      <c r="BB583" s="65"/>
      <c r="BC583" s="65"/>
      <c r="BD583" s="65"/>
      <c r="BE583" s="65"/>
      <c r="BF583" s="65"/>
      <c r="BG583" s="65"/>
      <c r="BH583" s="65"/>
      <c r="BI583" s="65"/>
      <c r="BJ583" s="65"/>
      <c r="BK583" s="65">
        <v>0</v>
      </c>
      <c r="BL583" s="65">
        <v>0</v>
      </c>
      <c r="BM583" s="65">
        <v>0</v>
      </c>
      <c r="BN583" s="65">
        <f t="shared" si="3022"/>
        <v>0</v>
      </c>
      <c r="BO583" s="67">
        <f t="shared" si="3023"/>
        <v>0</v>
      </c>
      <c r="BP583" s="65">
        <f t="shared" si="3024"/>
        <v>0</v>
      </c>
      <c r="BQ583" s="65">
        <f t="shared" si="3025"/>
        <v>0</v>
      </c>
      <c r="BR583" s="65">
        <f t="shared" si="3026"/>
        <v>0</v>
      </c>
      <c r="BS583" s="65">
        <f t="shared" si="3027"/>
        <v>0</v>
      </c>
      <c r="BT583" s="65">
        <f t="shared" si="3028"/>
        <v>0</v>
      </c>
      <c r="BU583" s="65">
        <f t="shared" si="3029"/>
        <v>0</v>
      </c>
      <c r="BV583" s="65">
        <f t="shared" si="3030"/>
        <v>0</v>
      </c>
      <c r="BW583" s="65">
        <f t="shared" si="3031"/>
        <v>0</v>
      </c>
      <c r="BX583" s="6"/>
      <c r="BY583" s="6"/>
      <c r="BZ583" s="6"/>
      <c r="CA583" s="6"/>
      <c r="CB583" s="6"/>
      <c r="CC583" s="6"/>
      <c r="CD583" s="6"/>
      <c r="CE583" s="6"/>
      <c r="CF583" s="6"/>
      <c r="CG583" s="6"/>
    </row>
    <row r="584" spans="1:85" ht="15.75" customHeight="1">
      <c r="A584" s="68"/>
      <c r="B584" s="103"/>
      <c r="C584" s="68" t="s">
        <v>69</v>
      </c>
      <c r="D584" s="105" t="s">
        <v>671</v>
      </c>
      <c r="E584" s="56">
        <v>1000</v>
      </c>
      <c r="F584" s="99">
        <v>0</v>
      </c>
      <c r="G584" s="58">
        <f t="shared" si="3015"/>
        <v>1000</v>
      </c>
      <c r="H584" s="99">
        <v>0</v>
      </c>
      <c r="I584" s="59">
        <f t="shared" si="3007"/>
        <v>0</v>
      </c>
      <c r="J584" s="59">
        <f t="shared" si="2705"/>
        <v>0</v>
      </c>
      <c r="K584" s="74">
        <v>0</v>
      </c>
      <c r="L584" s="74">
        <v>0</v>
      </c>
      <c r="M584" s="74">
        <v>0</v>
      </c>
      <c r="N584" s="74">
        <v>0</v>
      </c>
      <c r="O584" s="61">
        <f t="shared" ref="O584:Q584" si="3035">AA584+AD584+AG584+AJ584+AM584+AP584+AS584+AV584+AY584+BB584+BE584+BH584</f>
        <v>0</v>
      </c>
      <c r="P584" s="61">
        <f t="shared" si="3035"/>
        <v>0</v>
      </c>
      <c r="Q584" s="61">
        <f t="shared" si="3035"/>
        <v>0</v>
      </c>
      <c r="R584" s="61">
        <f t="shared" ref="R584:T584" si="3036">IF(BK584=0,SUM(AA584+AD584+AG584+AJ584+AM584+AP584+AS584+AV584+AY584+BB584+BE584+BH584),BK584)</f>
        <v>0</v>
      </c>
      <c r="S584" s="61">
        <f t="shared" si="3036"/>
        <v>0</v>
      </c>
      <c r="T584" s="61">
        <f t="shared" si="3036"/>
        <v>0</v>
      </c>
      <c r="U584" s="63">
        <f t="shared" si="3018"/>
        <v>0</v>
      </c>
      <c r="V584" s="63">
        <f t="shared" si="3019"/>
        <v>0</v>
      </c>
      <c r="W584" s="63">
        <f t="shared" si="3020"/>
        <v>0</v>
      </c>
      <c r="X584" s="64">
        <f t="shared" ref="X584:Y584" si="3037">IF(O584&gt;0,O584/K584,0)</f>
        <v>0</v>
      </c>
      <c r="Y584" s="64">
        <f t="shared" si="3037"/>
        <v>0</v>
      </c>
      <c r="Z584" s="64">
        <f t="shared" si="2708"/>
        <v>0</v>
      </c>
      <c r="AA584" s="65"/>
      <c r="AB584" s="65"/>
      <c r="AC584" s="65"/>
      <c r="AD584" s="65"/>
      <c r="AE584" s="66"/>
      <c r="AF584" s="66"/>
      <c r="AG584" s="66"/>
      <c r="AH584" s="66"/>
      <c r="AI584" s="65"/>
      <c r="AJ584" s="65"/>
      <c r="AK584" s="65"/>
      <c r="AL584" s="65"/>
      <c r="AM584" s="65"/>
      <c r="AN584" s="65"/>
      <c r="AO584" s="65"/>
      <c r="AP584" s="65"/>
      <c r="AQ584" s="65"/>
      <c r="AR584" s="65"/>
      <c r="AS584" s="65"/>
      <c r="AT584" s="65"/>
      <c r="AU584" s="65"/>
      <c r="AV584" s="65"/>
      <c r="AW584" s="65"/>
      <c r="AX584" s="65"/>
      <c r="AY584" s="65"/>
      <c r="AZ584" s="65"/>
      <c r="BA584" s="65"/>
      <c r="BB584" s="65"/>
      <c r="BC584" s="65"/>
      <c r="BD584" s="65"/>
      <c r="BE584" s="65"/>
      <c r="BF584" s="65"/>
      <c r="BG584" s="65"/>
      <c r="BH584" s="65"/>
      <c r="BI584" s="65"/>
      <c r="BJ584" s="65"/>
      <c r="BK584" s="65">
        <v>0</v>
      </c>
      <c r="BL584" s="65">
        <v>0</v>
      </c>
      <c r="BM584" s="65">
        <v>0</v>
      </c>
      <c r="BN584" s="65">
        <f t="shared" si="3022"/>
        <v>0</v>
      </c>
      <c r="BO584" s="67">
        <f t="shared" si="3023"/>
        <v>0</v>
      </c>
      <c r="BP584" s="65">
        <f t="shared" si="3024"/>
        <v>0</v>
      </c>
      <c r="BQ584" s="65">
        <f t="shared" si="3025"/>
        <v>0</v>
      </c>
      <c r="BR584" s="65">
        <f t="shared" si="3026"/>
        <v>0</v>
      </c>
      <c r="BS584" s="65">
        <f t="shared" si="3027"/>
        <v>0</v>
      </c>
      <c r="BT584" s="65">
        <f t="shared" si="3028"/>
        <v>0</v>
      </c>
      <c r="BU584" s="65">
        <f t="shared" si="3029"/>
        <v>0</v>
      </c>
      <c r="BV584" s="65">
        <f t="shared" si="3030"/>
        <v>0</v>
      </c>
      <c r="BW584" s="65">
        <f t="shared" si="3031"/>
        <v>0</v>
      </c>
      <c r="BX584" s="6"/>
      <c r="BY584" s="6"/>
      <c r="BZ584" s="6"/>
      <c r="CA584" s="6"/>
      <c r="CB584" s="6"/>
      <c r="CC584" s="6"/>
      <c r="CD584" s="6"/>
      <c r="CE584" s="6"/>
      <c r="CF584" s="6"/>
      <c r="CG584" s="6"/>
    </row>
    <row r="585" spans="1:85" ht="15.75" customHeight="1">
      <c r="A585" s="68"/>
      <c r="B585" s="103"/>
      <c r="C585" s="68" t="s">
        <v>169</v>
      </c>
      <c r="D585" s="193" t="s">
        <v>674</v>
      </c>
      <c r="E585" s="56">
        <v>5000</v>
      </c>
      <c r="F585" s="99">
        <v>0</v>
      </c>
      <c r="G585" s="58">
        <f t="shared" si="3015"/>
        <v>5000</v>
      </c>
      <c r="H585" s="99">
        <v>0</v>
      </c>
      <c r="I585" s="59">
        <f t="shared" si="3007"/>
        <v>0</v>
      </c>
      <c r="J585" s="59">
        <f t="shared" si="2705"/>
        <v>0</v>
      </c>
      <c r="K585" s="74">
        <v>0</v>
      </c>
      <c r="L585" s="74">
        <v>0</v>
      </c>
      <c r="M585" s="74">
        <v>0</v>
      </c>
      <c r="N585" s="74">
        <v>0</v>
      </c>
      <c r="O585" s="61">
        <f t="shared" ref="O585:Q585" si="3038">AA585+AD585+AG585+AJ585+AM585+AP585+AS585+AV585+AY585+BB585+BE585+BH585</f>
        <v>0</v>
      </c>
      <c r="P585" s="61">
        <f t="shared" si="3038"/>
        <v>0</v>
      </c>
      <c r="Q585" s="61">
        <f t="shared" si="3038"/>
        <v>0</v>
      </c>
      <c r="R585" s="61">
        <f t="shared" ref="R585:T585" si="3039">IF(BK585=0,SUM(AA585+AD585+AG585+AJ585+AM585+AP585+AS585+AV585+AY585+BB585+BE585+BH585),BK585)</f>
        <v>0</v>
      </c>
      <c r="S585" s="61">
        <f t="shared" si="3039"/>
        <v>0</v>
      </c>
      <c r="T585" s="61">
        <f t="shared" si="3039"/>
        <v>0</v>
      </c>
      <c r="U585" s="63">
        <f t="shared" si="3018"/>
        <v>0</v>
      </c>
      <c r="V585" s="63">
        <f t="shared" si="3019"/>
        <v>0</v>
      </c>
      <c r="W585" s="63">
        <f t="shared" si="3020"/>
        <v>0</v>
      </c>
      <c r="X585" s="64">
        <f t="shared" ref="X585:Y585" si="3040">IF(O585&gt;0,O585/K585,0)</f>
        <v>0</v>
      </c>
      <c r="Y585" s="64">
        <f t="shared" si="3040"/>
        <v>0</v>
      </c>
      <c r="Z585" s="64">
        <f t="shared" si="2708"/>
        <v>0</v>
      </c>
      <c r="AA585" s="65"/>
      <c r="AB585" s="65"/>
      <c r="AC585" s="65"/>
      <c r="AD585" s="65"/>
      <c r="AE585" s="66"/>
      <c r="AF585" s="66"/>
      <c r="AG585" s="66"/>
      <c r="AH585" s="66"/>
      <c r="AI585" s="65"/>
      <c r="AJ585" s="65"/>
      <c r="AK585" s="65"/>
      <c r="AL585" s="65"/>
      <c r="AM585" s="65"/>
      <c r="AN585" s="65"/>
      <c r="AO585" s="65"/>
      <c r="AP585" s="65"/>
      <c r="AQ585" s="65"/>
      <c r="AR585" s="65"/>
      <c r="AS585" s="65"/>
      <c r="AT585" s="65"/>
      <c r="AU585" s="65"/>
      <c r="AV585" s="65"/>
      <c r="AW585" s="65"/>
      <c r="AX585" s="65"/>
      <c r="AY585" s="65"/>
      <c r="AZ585" s="65"/>
      <c r="BA585" s="65"/>
      <c r="BB585" s="65"/>
      <c r="BC585" s="65"/>
      <c r="BD585" s="65"/>
      <c r="BE585" s="65"/>
      <c r="BF585" s="65"/>
      <c r="BG585" s="65"/>
      <c r="BH585" s="65"/>
      <c r="BI585" s="65"/>
      <c r="BJ585" s="65"/>
      <c r="BK585" s="65">
        <v>0</v>
      </c>
      <c r="BL585" s="65">
        <v>0</v>
      </c>
      <c r="BM585" s="65">
        <v>0</v>
      </c>
      <c r="BN585" s="65">
        <f t="shared" si="3022"/>
        <v>0</v>
      </c>
      <c r="BO585" s="67">
        <f t="shared" si="3023"/>
        <v>0</v>
      </c>
      <c r="BP585" s="65">
        <f t="shared" si="3024"/>
        <v>0</v>
      </c>
      <c r="BQ585" s="65">
        <f t="shared" si="3025"/>
        <v>0</v>
      </c>
      <c r="BR585" s="65">
        <f t="shared" si="3026"/>
        <v>0</v>
      </c>
      <c r="BS585" s="65">
        <f t="shared" si="3027"/>
        <v>0</v>
      </c>
      <c r="BT585" s="65">
        <f t="shared" si="3028"/>
        <v>0</v>
      </c>
      <c r="BU585" s="65">
        <f t="shared" si="3029"/>
        <v>0</v>
      </c>
      <c r="BV585" s="65">
        <f t="shared" si="3030"/>
        <v>0</v>
      </c>
      <c r="BW585" s="65">
        <f t="shared" si="3031"/>
        <v>0</v>
      </c>
      <c r="BX585" s="6"/>
      <c r="BY585" s="6"/>
      <c r="BZ585" s="6"/>
      <c r="CA585" s="6"/>
      <c r="CB585" s="6"/>
      <c r="CC585" s="6"/>
      <c r="CD585" s="6"/>
      <c r="CE585" s="6"/>
      <c r="CF585" s="6"/>
      <c r="CG585" s="6"/>
    </row>
    <row r="586" spans="1:85" ht="15.75" customHeight="1">
      <c r="A586" s="68"/>
      <c r="B586" s="103"/>
      <c r="C586" s="68" t="s">
        <v>73</v>
      </c>
      <c r="D586" s="70" t="s">
        <v>697</v>
      </c>
      <c r="E586" s="56">
        <v>2000</v>
      </c>
      <c r="F586" s="99">
        <v>0</v>
      </c>
      <c r="G586" s="58">
        <f t="shared" si="3015"/>
        <v>2000</v>
      </c>
      <c r="H586" s="99">
        <v>0</v>
      </c>
      <c r="I586" s="59">
        <f t="shared" si="3007"/>
        <v>0</v>
      </c>
      <c r="J586" s="59">
        <f t="shared" si="2705"/>
        <v>0</v>
      </c>
      <c r="K586" s="74">
        <v>0</v>
      </c>
      <c r="L586" s="74">
        <v>0</v>
      </c>
      <c r="M586" s="74">
        <v>0</v>
      </c>
      <c r="N586" s="74">
        <v>0</v>
      </c>
      <c r="O586" s="61">
        <f t="shared" ref="O586:Q586" si="3041">AA586+AD586+AG586+AJ586+AM586+AP586+AS586+AV586+AY586+BB586+BE586+BH586</f>
        <v>0</v>
      </c>
      <c r="P586" s="61">
        <f t="shared" si="3041"/>
        <v>0</v>
      </c>
      <c r="Q586" s="61">
        <f t="shared" si="3041"/>
        <v>0</v>
      </c>
      <c r="R586" s="61">
        <f t="shared" ref="R586:T586" si="3042">IF(BK586=0,SUM(AA586+AD586+AG586+AJ586+AM586+AP586+AS586+AV586+AY586+BB586+BE586+BH586),BK586)</f>
        <v>0</v>
      </c>
      <c r="S586" s="61">
        <f t="shared" si="3042"/>
        <v>0</v>
      </c>
      <c r="T586" s="61">
        <f t="shared" si="3042"/>
        <v>0</v>
      </c>
      <c r="U586" s="63">
        <f t="shared" si="3018"/>
        <v>0</v>
      </c>
      <c r="V586" s="63">
        <f t="shared" si="3019"/>
        <v>0</v>
      </c>
      <c r="W586" s="63">
        <f t="shared" si="3020"/>
        <v>0</v>
      </c>
      <c r="X586" s="64">
        <f t="shared" ref="X586:Y586" si="3043">IF(O586&gt;0,O586/K586,0)</f>
        <v>0</v>
      </c>
      <c r="Y586" s="64">
        <f t="shared" si="3043"/>
        <v>0</v>
      </c>
      <c r="Z586" s="64">
        <f t="shared" si="2708"/>
        <v>0</v>
      </c>
      <c r="AA586" s="65"/>
      <c r="AB586" s="65"/>
      <c r="AC586" s="65"/>
      <c r="AD586" s="65"/>
      <c r="AE586" s="66"/>
      <c r="AF586" s="66"/>
      <c r="AG586" s="66"/>
      <c r="AH586" s="66"/>
      <c r="AI586" s="65"/>
      <c r="AJ586" s="65"/>
      <c r="AK586" s="65"/>
      <c r="AL586" s="65"/>
      <c r="AM586" s="65"/>
      <c r="AN586" s="65"/>
      <c r="AO586" s="65"/>
      <c r="AP586" s="65"/>
      <c r="AQ586" s="65"/>
      <c r="AR586" s="65"/>
      <c r="AS586" s="65"/>
      <c r="AT586" s="65"/>
      <c r="AU586" s="65"/>
      <c r="AV586" s="65"/>
      <c r="AW586" s="65"/>
      <c r="AX586" s="65"/>
      <c r="AY586" s="65"/>
      <c r="AZ586" s="65"/>
      <c r="BA586" s="65"/>
      <c r="BB586" s="65"/>
      <c r="BC586" s="65"/>
      <c r="BD586" s="65"/>
      <c r="BE586" s="65"/>
      <c r="BF586" s="65"/>
      <c r="BG586" s="65"/>
      <c r="BH586" s="65"/>
      <c r="BI586" s="65"/>
      <c r="BJ586" s="65"/>
      <c r="BK586" s="65">
        <v>0</v>
      </c>
      <c r="BL586" s="65">
        <v>0</v>
      </c>
      <c r="BM586" s="65">
        <v>0</v>
      </c>
      <c r="BN586" s="65">
        <f t="shared" si="3022"/>
        <v>0</v>
      </c>
      <c r="BO586" s="67">
        <f t="shared" si="3023"/>
        <v>0</v>
      </c>
      <c r="BP586" s="65">
        <f t="shared" si="3024"/>
        <v>0</v>
      </c>
      <c r="BQ586" s="65">
        <f t="shared" si="3025"/>
        <v>0</v>
      </c>
      <c r="BR586" s="65">
        <f t="shared" si="3026"/>
        <v>0</v>
      </c>
      <c r="BS586" s="65">
        <f t="shared" si="3027"/>
        <v>0</v>
      </c>
      <c r="BT586" s="65">
        <f t="shared" si="3028"/>
        <v>0</v>
      </c>
      <c r="BU586" s="65">
        <f t="shared" si="3029"/>
        <v>0</v>
      </c>
      <c r="BV586" s="65">
        <f t="shared" si="3030"/>
        <v>0</v>
      </c>
      <c r="BW586" s="65">
        <f t="shared" si="3031"/>
        <v>0</v>
      </c>
      <c r="BX586" s="6"/>
      <c r="BY586" s="6"/>
      <c r="BZ586" s="6"/>
      <c r="CA586" s="6"/>
      <c r="CB586" s="6"/>
      <c r="CC586" s="6"/>
      <c r="CD586" s="6"/>
      <c r="CE586" s="6"/>
      <c r="CF586" s="6"/>
      <c r="CG586" s="6"/>
    </row>
    <row r="587" spans="1:85" ht="15.75" customHeight="1">
      <c r="A587" s="68"/>
      <c r="B587" s="103"/>
      <c r="C587" s="68" t="s">
        <v>73</v>
      </c>
      <c r="D587" s="105" t="s">
        <v>698</v>
      </c>
      <c r="E587" s="56">
        <v>2000</v>
      </c>
      <c r="F587" s="99">
        <v>0</v>
      </c>
      <c r="G587" s="58">
        <f t="shared" si="3015"/>
        <v>2000</v>
      </c>
      <c r="H587" s="99">
        <v>0</v>
      </c>
      <c r="I587" s="59">
        <f t="shared" si="3007"/>
        <v>0</v>
      </c>
      <c r="J587" s="59">
        <f t="shared" si="2705"/>
        <v>0</v>
      </c>
      <c r="K587" s="74">
        <v>0</v>
      </c>
      <c r="L587" s="74">
        <v>0</v>
      </c>
      <c r="M587" s="74">
        <v>0</v>
      </c>
      <c r="N587" s="74">
        <v>0</v>
      </c>
      <c r="O587" s="61">
        <f t="shared" ref="O587:Q587" si="3044">AA587+AD587+AG587+AJ587+AM587+AP587+AS587+AV587+AY587+BB587+BE587+BH587</f>
        <v>0</v>
      </c>
      <c r="P587" s="61">
        <f t="shared" si="3044"/>
        <v>0</v>
      </c>
      <c r="Q587" s="61">
        <f t="shared" si="3044"/>
        <v>0</v>
      </c>
      <c r="R587" s="61">
        <f t="shared" ref="R587:T587" si="3045">IF(BK587=0,SUM(AA587+AD587+AG587+AJ587+AM587+AP587+AS587+AV587+AY587+BB587+BE587+BH587),BK587)</f>
        <v>0</v>
      </c>
      <c r="S587" s="61">
        <f t="shared" si="3045"/>
        <v>0</v>
      </c>
      <c r="T587" s="61">
        <f t="shared" si="3045"/>
        <v>0</v>
      </c>
      <c r="U587" s="63">
        <f t="shared" si="3018"/>
        <v>0</v>
      </c>
      <c r="V587" s="63">
        <f t="shared" si="3019"/>
        <v>0</v>
      </c>
      <c r="W587" s="63">
        <f t="shared" si="3020"/>
        <v>0</v>
      </c>
      <c r="X587" s="64">
        <f t="shared" ref="X587:Y587" si="3046">IF(O587&gt;0,O587/K587,0)</f>
        <v>0</v>
      </c>
      <c r="Y587" s="64">
        <f t="shared" si="3046"/>
        <v>0</v>
      </c>
      <c r="Z587" s="64">
        <f t="shared" si="2708"/>
        <v>0</v>
      </c>
      <c r="AA587" s="65"/>
      <c r="AB587" s="65"/>
      <c r="AC587" s="65"/>
      <c r="AD587" s="65"/>
      <c r="AE587" s="66"/>
      <c r="AF587" s="66"/>
      <c r="AG587" s="66"/>
      <c r="AH587" s="66"/>
      <c r="AI587" s="65"/>
      <c r="AJ587" s="65"/>
      <c r="AK587" s="65"/>
      <c r="AL587" s="65"/>
      <c r="AM587" s="65"/>
      <c r="AN587" s="65"/>
      <c r="AO587" s="65"/>
      <c r="AP587" s="65"/>
      <c r="AQ587" s="65"/>
      <c r="AR587" s="65"/>
      <c r="AS587" s="65"/>
      <c r="AT587" s="65"/>
      <c r="AU587" s="65"/>
      <c r="AV587" s="65"/>
      <c r="AW587" s="65"/>
      <c r="AX587" s="65"/>
      <c r="AY587" s="65"/>
      <c r="AZ587" s="65"/>
      <c r="BA587" s="65"/>
      <c r="BB587" s="65"/>
      <c r="BC587" s="65"/>
      <c r="BD587" s="65"/>
      <c r="BE587" s="65"/>
      <c r="BF587" s="65"/>
      <c r="BG587" s="65"/>
      <c r="BH587" s="65"/>
      <c r="BI587" s="65"/>
      <c r="BJ587" s="65"/>
      <c r="BK587" s="65">
        <v>0</v>
      </c>
      <c r="BL587" s="65">
        <v>0</v>
      </c>
      <c r="BM587" s="65">
        <v>0</v>
      </c>
      <c r="BN587" s="65">
        <f t="shared" si="3022"/>
        <v>0</v>
      </c>
      <c r="BO587" s="67">
        <f t="shared" si="3023"/>
        <v>0</v>
      </c>
      <c r="BP587" s="65">
        <f t="shared" si="3024"/>
        <v>0</v>
      </c>
      <c r="BQ587" s="65">
        <f t="shared" si="3025"/>
        <v>0</v>
      </c>
      <c r="BR587" s="65">
        <f t="shared" si="3026"/>
        <v>0</v>
      </c>
      <c r="BS587" s="65">
        <f t="shared" si="3027"/>
        <v>0</v>
      </c>
      <c r="BT587" s="65">
        <f t="shared" si="3028"/>
        <v>0</v>
      </c>
      <c r="BU587" s="65">
        <f t="shared" si="3029"/>
        <v>0</v>
      </c>
      <c r="BV587" s="65">
        <f t="shared" si="3030"/>
        <v>0</v>
      </c>
      <c r="BW587" s="65">
        <f t="shared" si="3031"/>
        <v>0</v>
      </c>
      <c r="BX587" s="6"/>
      <c r="BY587" s="6"/>
      <c r="BZ587" s="6"/>
      <c r="CA587" s="6"/>
      <c r="CB587" s="6"/>
      <c r="CC587" s="6"/>
      <c r="CD587" s="6"/>
      <c r="CE587" s="6"/>
      <c r="CF587" s="6"/>
      <c r="CG587" s="6"/>
    </row>
    <row r="588" spans="1:85" ht="15.75">
      <c r="A588" s="75"/>
      <c r="B588" s="76"/>
      <c r="C588" s="77"/>
      <c r="D588" s="280" t="s">
        <v>699</v>
      </c>
      <c r="E588" s="45">
        <f t="shared" ref="E588:H588" si="3047">SUM(E589)</f>
        <v>0</v>
      </c>
      <c r="F588" s="45">
        <f t="shared" si="3047"/>
        <v>0</v>
      </c>
      <c r="G588" s="45">
        <f t="shared" si="3047"/>
        <v>0</v>
      </c>
      <c r="H588" s="45">
        <f t="shared" si="3047"/>
        <v>0</v>
      </c>
      <c r="I588" s="47">
        <f t="shared" si="3007"/>
        <v>0</v>
      </c>
      <c r="J588" s="47">
        <f t="shared" si="2705"/>
        <v>0</v>
      </c>
      <c r="K588" s="45">
        <f t="shared" ref="K588:W588" si="3048">SUM(K589)</f>
        <v>0</v>
      </c>
      <c r="L588" s="45">
        <f t="shared" si="3048"/>
        <v>0</v>
      </c>
      <c r="M588" s="45">
        <f t="shared" si="3048"/>
        <v>0</v>
      </c>
      <c r="N588" s="45">
        <f t="shared" si="3048"/>
        <v>7000</v>
      </c>
      <c r="O588" s="45">
        <f t="shared" si="3048"/>
        <v>0</v>
      </c>
      <c r="P588" s="45">
        <f t="shared" si="3048"/>
        <v>0</v>
      </c>
      <c r="Q588" s="45">
        <f t="shared" si="3048"/>
        <v>0</v>
      </c>
      <c r="R588" s="45">
        <f t="shared" si="3048"/>
        <v>0</v>
      </c>
      <c r="S588" s="45">
        <f t="shared" si="3048"/>
        <v>0</v>
      </c>
      <c r="T588" s="45">
        <f t="shared" si="3048"/>
        <v>0</v>
      </c>
      <c r="U588" s="45">
        <f t="shared" si="3048"/>
        <v>0</v>
      </c>
      <c r="V588" s="45">
        <f t="shared" si="3048"/>
        <v>0</v>
      </c>
      <c r="W588" s="45">
        <f t="shared" si="3048"/>
        <v>7000</v>
      </c>
      <c r="X588" s="50">
        <f t="shared" ref="X588:Y588" si="3049">IF(O588&gt;0,O588/K588,0)</f>
        <v>0</v>
      </c>
      <c r="Y588" s="50">
        <f t="shared" si="3049"/>
        <v>0</v>
      </c>
      <c r="Z588" s="50">
        <f t="shared" si="2708"/>
        <v>0</v>
      </c>
      <c r="AA588" s="45">
        <f t="shared" ref="AA588:BW588" si="3050">SUM(AA589)</f>
        <v>0</v>
      </c>
      <c r="AB588" s="45">
        <f t="shared" si="3050"/>
        <v>0</v>
      </c>
      <c r="AC588" s="45">
        <f t="shared" si="3050"/>
        <v>0</v>
      </c>
      <c r="AD588" s="45">
        <f t="shared" si="3050"/>
        <v>0</v>
      </c>
      <c r="AE588" s="45">
        <f t="shared" si="3050"/>
        <v>0</v>
      </c>
      <c r="AF588" s="45">
        <f t="shared" si="3050"/>
        <v>0</v>
      </c>
      <c r="AG588" s="45">
        <f t="shared" si="3050"/>
        <v>0</v>
      </c>
      <c r="AH588" s="45">
        <f t="shared" si="3050"/>
        <v>0</v>
      </c>
      <c r="AI588" s="45">
        <f t="shared" si="3050"/>
        <v>0</v>
      </c>
      <c r="AJ588" s="45">
        <f t="shared" si="3050"/>
        <v>0</v>
      </c>
      <c r="AK588" s="45">
        <f t="shared" si="3050"/>
        <v>0</v>
      </c>
      <c r="AL588" s="45">
        <f t="shared" si="3050"/>
        <v>0</v>
      </c>
      <c r="AM588" s="45">
        <f t="shared" si="3050"/>
        <v>0</v>
      </c>
      <c r="AN588" s="45">
        <f t="shared" si="3050"/>
        <v>0</v>
      </c>
      <c r="AO588" s="45">
        <f t="shared" si="3050"/>
        <v>0</v>
      </c>
      <c r="AP588" s="45">
        <f t="shared" si="3050"/>
        <v>0</v>
      </c>
      <c r="AQ588" s="45">
        <f t="shared" si="3050"/>
        <v>0</v>
      </c>
      <c r="AR588" s="45">
        <f t="shared" si="3050"/>
        <v>0</v>
      </c>
      <c r="AS588" s="45">
        <f t="shared" si="3050"/>
        <v>0</v>
      </c>
      <c r="AT588" s="45">
        <f t="shared" si="3050"/>
        <v>0</v>
      </c>
      <c r="AU588" s="45">
        <f t="shared" si="3050"/>
        <v>0</v>
      </c>
      <c r="AV588" s="45">
        <f t="shared" si="3050"/>
        <v>0</v>
      </c>
      <c r="AW588" s="45">
        <f t="shared" si="3050"/>
        <v>0</v>
      </c>
      <c r="AX588" s="45">
        <f t="shared" si="3050"/>
        <v>0</v>
      </c>
      <c r="AY588" s="45">
        <f t="shared" si="3050"/>
        <v>0</v>
      </c>
      <c r="AZ588" s="45">
        <f t="shared" si="3050"/>
        <v>0</v>
      </c>
      <c r="BA588" s="45">
        <f t="shared" si="3050"/>
        <v>0</v>
      </c>
      <c r="BB588" s="45">
        <f t="shared" si="3050"/>
        <v>0</v>
      </c>
      <c r="BC588" s="45">
        <f t="shared" si="3050"/>
        <v>0</v>
      </c>
      <c r="BD588" s="45">
        <f t="shared" si="3050"/>
        <v>0</v>
      </c>
      <c r="BE588" s="45">
        <f t="shared" si="3050"/>
        <v>0</v>
      </c>
      <c r="BF588" s="45">
        <f t="shared" si="3050"/>
        <v>0</v>
      </c>
      <c r="BG588" s="45">
        <f t="shared" si="3050"/>
        <v>0</v>
      </c>
      <c r="BH588" s="45">
        <f t="shared" si="3050"/>
        <v>0</v>
      </c>
      <c r="BI588" s="45">
        <f t="shared" si="3050"/>
        <v>0</v>
      </c>
      <c r="BJ588" s="45">
        <f t="shared" si="3050"/>
        <v>0</v>
      </c>
      <c r="BK588" s="45">
        <f t="shared" si="3050"/>
        <v>0</v>
      </c>
      <c r="BL588" s="45">
        <f t="shared" si="3050"/>
        <v>0</v>
      </c>
      <c r="BM588" s="45">
        <f t="shared" si="3050"/>
        <v>0</v>
      </c>
      <c r="BN588" s="45">
        <f t="shared" si="3050"/>
        <v>0</v>
      </c>
      <c r="BO588" s="45">
        <f t="shared" si="3050"/>
        <v>0</v>
      </c>
      <c r="BP588" s="45">
        <f t="shared" si="3050"/>
        <v>0</v>
      </c>
      <c r="BQ588" s="45">
        <f t="shared" si="3050"/>
        <v>0</v>
      </c>
      <c r="BR588" s="45">
        <f t="shared" si="3050"/>
        <v>7000</v>
      </c>
      <c r="BS588" s="45">
        <f t="shared" si="3050"/>
        <v>7000</v>
      </c>
      <c r="BT588" s="45">
        <f t="shared" si="3050"/>
        <v>0</v>
      </c>
      <c r="BU588" s="45">
        <f t="shared" si="3050"/>
        <v>0</v>
      </c>
      <c r="BV588" s="45">
        <f t="shared" si="3050"/>
        <v>7000</v>
      </c>
      <c r="BW588" s="45">
        <f t="shared" si="3050"/>
        <v>7000</v>
      </c>
      <c r="BX588" s="51"/>
      <c r="BY588" s="51"/>
      <c r="BZ588" s="51"/>
      <c r="CA588" s="51"/>
      <c r="CB588" s="51"/>
      <c r="CC588" s="51"/>
      <c r="CD588" s="51"/>
      <c r="CE588" s="51"/>
      <c r="CF588" s="51"/>
      <c r="CG588" s="51"/>
    </row>
    <row r="589" spans="1:85" ht="15.75" customHeight="1">
      <c r="A589" s="371" t="s">
        <v>700</v>
      </c>
      <c r="C589" s="68" t="s">
        <v>430</v>
      </c>
      <c r="D589" s="372" t="s">
        <v>701</v>
      </c>
      <c r="E589" s="99">
        <v>0</v>
      </c>
      <c r="F589" s="99">
        <v>0</v>
      </c>
      <c r="G589" s="58">
        <f>E589-F589</f>
        <v>0</v>
      </c>
      <c r="H589" s="99">
        <v>0</v>
      </c>
      <c r="I589" s="59">
        <f t="shared" si="3007"/>
        <v>0</v>
      </c>
      <c r="J589" s="59">
        <f t="shared" si="2705"/>
        <v>0</v>
      </c>
      <c r="K589" s="74">
        <v>0</v>
      </c>
      <c r="L589" s="74">
        <v>0</v>
      </c>
      <c r="M589" s="74">
        <v>0</v>
      </c>
      <c r="N589" s="74">
        <v>7000</v>
      </c>
      <c r="O589" s="61">
        <f t="shared" ref="O589:Q589" si="3051">AA589+AD589+AG589+AJ589+AM589+AP589+AS589+AV589+AY589+BB589+BE589+BH589</f>
        <v>0</v>
      </c>
      <c r="P589" s="61">
        <f t="shared" si="3051"/>
        <v>0</v>
      </c>
      <c r="Q589" s="61">
        <f t="shared" si="3051"/>
        <v>0</v>
      </c>
      <c r="R589" s="61">
        <f t="shared" ref="R589:T589" si="3052">IF(BK589=0,SUM(AA589+AD589+AG589+AJ589+AM589+AP589+AS589+AV589+AY589+BB589+BE589+BH589),BK589)</f>
        <v>0</v>
      </c>
      <c r="S589" s="61">
        <f t="shared" si="3052"/>
        <v>0</v>
      </c>
      <c r="T589" s="61">
        <f t="shared" si="3052"/>
        <v>0</v>
      </c>
      <c r="U589" s="62">
        <f>K589-O589</f>
        <v>0</v>
      </c>
      <c r="V589" s="63">
        <f>L589-M589-S589</f>
        <v>0</v>
      </c>
      <c r="W589" s="63">
        <f>N589-Q589</f>
        <v>7000</v>
      </c>
      <c r="X589" s="64">
        <f t="shared" ref="X589:Y589" si="3053">IF(O589&gt;0,O589/K589,0)</f>
        <v>0</v>
      </c>
      <c r="Y589" s="64">
        <f t="shared" si="3053"/>
        <v>0</v>
      </c>
      <c r="Z589" s="64">
        <f t="shared" si="2708"/>
        <v>0</v>
      </c>
      <c r="AA589" s="65"/>
      <c r="AB589" s="65"/>
      <c r="AC589" s="65"/>
      <c r="AD589" s="65"/>
      <c r="AE589" s="66"/>
      <c r="AF589" s="66"/>
      <c r="AG589" s="66"/>
      <c r="AH589" s="66"/>
      <c r="AI589" s="65"/>
      <c r="AJ589" s="65"/>
      <c r="AK589" s="65"/>
      <c r="AL589" s="65"/>
      <c r="AM589" s="65"/>
      <c r="AN589" s="65"/>
      <c r="AO589" s="65"/>
      <c r="AP589" s="65"/>
      <c r="AQ589" s="65"/>
      <c r="AR589" s="65"/>
      <c r="AS589" s="65"/>
      <c r="AT589" s="65"/>
      <c r="AU589" s="65"/>
      <c r="AV589" s="65"/>
      <c r="AW589" s="65"/>
      <c r="AX589" s="65"/>
      <c r="AY589" s="65"/>
      <c r="AZ589" s="65"/>
      <c r="BA589" s="65"/>
      <c r="BB589" s="65"/>
      <c r="BC589" s="65"/>
      <c r="BD589" s="65"/>
      <c r="BE589" s="65"/>
      <c r="BF589" s="65"/>
      <c r="BG589" s="65"/>
      <c r="BH589" s="65"/>
      <c r="BI589" s="65"/>
      <c r="BJ589" s="65"/>
      <c r="BK589" s="65">
        <v>0</v>
      </c>
      <c r="BL589" s="65">
        <v>0</v>
      </c>
      <c r="BM589" s="65">
        <v>0</v>
      </c>
      <c r="BN589" s="65">
        <f>IF(O589-BK589&gt;0,O589-BK589,0)</f>
        <v>0</v>
      </c>
      <c r="BO589" s="67">
        <f>IF(Q589-BM589&gt;0,Q589-BM589,0)</f>
        <v>0</v>
      </c>
      <c r="BP589" s="65">
        <f>IF(BN589+BO589&gt;0,BN589+BO589,0)</f>
        <v>0</v>
      </c>
      <c r="BQ589" s="65">
        <f>IF(U589=0,0,U589)</f>
        <v>0</v>
      </c>
      <c r="BR589" s="65">
        <f>IF(W589=0,0,W589)</f>
        <v>7000</v>
      </c>
      <c r="BS589" s="65">
        <f>IF(BQ589+BR589&gt;0,BQ589+BR589,0)</f>
        <v>7000</v>
      </c>
      <c r="BT589" s="65">
        <f>IF(V589&gt;0,V589,0)</f>
        <v>0</v>
      </c>
      <c r="BU589" s="65">
        <f>IF(BP589=0,0,BP589)</f>
        <v>0</v>
      </c>
      <c r="BV589" s="65">
        <f>IF(BS589=0,0,BS589)</f>
        <v>7000</v>
      </c>
      <c r="BW589" s="65">
        <f>IF(BP589+BT589+BV589&gt;0,BP589+BT589+BV589,0)</f>
        <v>7000</v>
      </c>
      <c r="BX589" s="6"/>
      <c r="BY589" s="6"/>
      <c r="BZ589" s="6"/>
      <c r="CA589" s="6"/>
      <c r="CB589" s="6"/>
      <c r="CC589" s="6"/>
      <c r="CD589" s="6"/>
      <c r="CE589" s="6"/>
      <c r="CF589" s="6"/>
      <c r="CG589" s="6"/>
    </row>
    <row r="590" spans="1:85" ht="15.75">
      <c r="A590" s="75"/>
      <c r="B590" s="76"/>
      <c r="C590" s="77"/>
      <c r="D590" s="78" t="s">
        <v>83</v>
      </c>
      <c r="E590" s="45">
        <f t="shared" ref="E590:H590" si="3054">SUM(E591:E592)</f>
        <v>2000</v>
      </c>
      <c r="F590" s="45">
        <f t="shared" si="3054"/>
        <v>0</v>
      </c>
      <c r="G590" s="45">
        <f t="shared" si="3054"/>
        <v>2000</v>
      </c>
      <c r="H590" s="45">
        <f t="shared" si="3054"/>
        <v>0</v>
      </c>
      <c r="I590" s="47">
        <f t="shared" si="3007"/>
        <v>0</v>
      </c>
      <c r="J590" s="47">
        <f t="shared" si="2705"/>
        <v>0</v>
      </c>
      <c r="K590" s="45">
        <f t="shared" ref="K590:W590" si="3055">SUM(K591:K592)</f>
        <v>0</v>
      </c>
      <c r="L590" s="45">
        <f t="shared" si="3055"/>
        <v>0</v>
      </c>
      <c r="M590" s="45">
        <f t="shared" si="3055"/>
        <v>0</v>
      </c>
      <c r="N590" s="45">
        <f t="shared" si="3055"/>
        <v>0</v>
      </c>
      <c r="O590" s="45">
        <f t="shared" si="3055"/>
        <v>0</v>
      </c>
      <c r="P590" s="45">
        <f t="shared" si="3055"/>
        <v>0</v>
      </c>
      <c r="Q590" s="45">
        <f t="shared" si="3055"/>
        <v>0</v>
      </c>
      <c r="R590" s="45">
        <f t="shared" si="3055"/>
        <v>0</v>
      </c>
      <c r="S590" s="45">
        <f t="shared" si="3055"/>
        <v>0</v>
      </c>
      <c r="T590" s="45">
        <f t="shared" si="3055"/>
        <v>0</v>
      </c>
      <c r="U590" s="45">
        <f t="shared" si="3055"/>
        <v>0</v>
      </c>
      <c r="V590" s="45">
        <f t="shared" si="3055"/>
        <v>0</v>
      </c>
      <c r="W590" s="45">
        <f t="shared" si="3055"/>
        <v>0</v>
      </c>
      <c r="X590" s="50">
        <f t="shared" ref="X590:Y590" si="3056">IF(O590&gt;0,O590/K590,0)</f>
        <v>0</v>
      </c>
      <c r="Y590" s="50">
        <f t="shared" si="3056"/>
        <v>0</v>
      </c>
      <c r="Z590" s="50">
        <f t="shared" si="2708"/>
        <v>0</v>
      </c>
      <c r="AA590" s="45">
        <f t="shared" ref="AA590:BW590" si="3057">SUM(AA591:AA592)</f>
        <v>0</v>
      </c>
      <c r="AB590" s="45">
        <f t="shared" si="3057"/>
        <v>0</v>
      </c>
      <c r="AC590" s="45">
        <f t="shared" si="3057"/>
        <v>0</v>
      </c>
      <c r="AD590" s="45">
        <f t="shared" si="3057"/>
        <v>0</v>
      </c>
      <c r="AE590" s="45">
        <f t="shared" si="3057"/>
        <v>0</v>
      </c>
      <c r="AF590" s="45">
        <f t="shared" si="3057"/>
        <v>0</v>
      </c>
      <c r="AG590" s="45">
        <f t="shared" si="3057"/>
        <v>0</v>
      </c>
      <c r="AH590" s="45">
        <f t="shared" si="3057"/>
        <v>0</v>
      </c>
      <c r="AI590" s="45">
        <f t="shared" si="3057"/>
        <v>0</v>
      </c>
      <c r="AJ590" s="45">
        <f t="shared" si="3057"/>
        <v>0</v>
      </c>
      <c r="AK590" s="45">
        <f t="shared" si="3057"/>
        <v>0</v>
      </c>
      <c r="AL590" s="45">
        <f t="shared" si="3057"/>
        <v>0</v>
      </c>
      <c r="AM590" s="45">
        <f t="shared" si="3057"/>
        <v>0</v>
      </c>
      <c r="AN590" s="45">
        <f t="shared" si="3057"/>
        <v>0</v>
      </c>
      <c r="AO590" s="45">
        <f t="shared" si="3057"/>
        <v>0</v>
      </c>
      <c r="AP590" s="45">
        <f t="shared" si="3057"/>
        <v>0</v>
      </c>
      <c r="AQ590" s="45">
        <f t="shared" si="3057"/>
        <v>0</v>
      </c>
      <c r="AR590" s="45">
        <f t="shared" si="3057"/>
        <v>0</v>
      </c>
      <c r="AS590" s="45">
        <f t="shared" si="3057"/>
        <v>0</v>
      </c>
      <c r="AT590" s="45">
        <f t="shared" si="3057"/>
        <v>0</v>
      </c>
      <c r="AU590" s="45">
        <f t="shared" si="3057"/>
        <v>0</v>
      </c>
      <c r="AV590" s="45">
        <f t="shared" si="3057"/>
        <v>0</v>
      </c>
      <c r="AW590" s="45">
        <f t="shared" si="3057"/>
        <v>0</v>
      </c>
      <c r="AX590" s="45">
        <f t="shared" si="3057"/>
        <v>0</v>
      </c>
      <c r="AY590" s="45">
        <f t="shared" si="3057"/>
        <v>0</v>
      </c>
      <c r="AZ590" s="45">
        <f t="shared" si="3057"/>
        <v>0</v>
      </c>
      <c r="BA590" s="45">
        <f t="shared" si="3057"/>
        <v>0</v>
      </c>
      <c r="BB590" s="45">
        <f t="shared" si="3057"/>
        <v>0</v>
      </c>
      <c r="BC590" s="45">
        <f t="shared" si="3057"/>
        <v>0</v>
      </c>
      <c r="BD590" s="45">
        <f t="shared" si="3057"/>
        <v>0</v>
      </c>
      <c r="BE590" s="45">
        <f t="shared" si="3057"/>
        <v>0</v>
      </c>
      <c r="BF590" s="45">
        <f t="shared" si="3057"/>
        <v>0</v>
      </c>
      <c r="BG590" s="45">
        <f t="shared" si="3057"/>
        <v>0</v>
      </c>
      <c r="BH590" s="45">
        <f t="shared" si="3057"/>
        <v>0</v>
      </c>
      <c r="BI590" s="45">
        <f t="shared" si="3057"/>
        <v>0</v>
      </c>
      <c r="BJ590" s="45">
        <f t="shared" si="3057"/>
        <v>0</v>
      </c>
      <c r="BK590" s="45">
        <f t="shared" si="3057"/>
        <v>0</v>
      </c>
      <c r="BL590" s="45">
        <f t="shared" si="3057"/>
        <v>0</v>
      </c>
      <c r="BM590" s="45">
        <f t="shared" si="3057"/>
        <v>0</v>
      </c>
      <c r="BN590" s="45">
        <f t="shared" si="3057"/>
        <v>0</v>
      </c>
      <c r="BO590" s="45">
        <f t="shared" si="3057"/>
        <v>0</v>
      </c>
      <c r="BP590" s="45">
        <f t="shared" si="3057"/>
        <v>0</v>
      </c>
      <c r="BQ590" s="45">
        <f t="shared" si="3057"/>
        <v>0</v>
      </c>
      <c r="BR590" s="45">
        <f t="shared" si="3057"/>
        <v>0</v>
      </c>
      <c r="BS590" s="45">
        <f t="shared" si="3057"/>
        <v>0</v>
      </c>
      <c r="BT590" s="45">
        <f t="shared" si="3057"/>
        <v>0</v>
      </c>
      <c r="BU590" s="45">
        <f t="shared" si="3057"/>
        <v>0</v>
      </c>
      <c r="BV590" s="45">
        <f t="shared" si="3057"/>
        <v>0</v>
      </c>
      <c r="BW590" s="45">
        <f t="shared" si="3057"/>
        <v>0</v>
      </c>
      <c r="BX590" s="51"/>
      <c r="BY590" s="51"/>
      <c r="BZ590" s="51"/>
      <c r="CA590" s="51"/>
      <c r="CB590" s="51"/>
      <c r="CC590" s="51"/>
      <c r="CD590" s="51"/>
      <c r="CE590" s="51"/>
      <c r="CF590" s="51"/>
      <c r="CG590" s="51"/>
    </row>
    <row r="591" spans="1:85" ht="15.75" customHeight="1">
      <c r="A591" s="68"/>
      <c r="B591" s="103"/>
      <c r="C591" s="68" t="s">
        <v>436</v>
      </c>
      <c r="D591" s="190" t="s">
        <v>702</v>
      </c>
      <c r="E591" s="99">
        <v>0</v>
      </c>
      <c r="F591" s="99">
        <v>0</v>
      </c>
      <c r="G591" s="58">
        <f t="shared" ref="G591:G592" si="3058">E591-F591</f>
        <v>0</v>
      </c>
      <c r="H591" s="99">
        <v>0</v>
      </c>
      <c r="I591" s="59">
        <f t="shared" si="3007"/>
        <v>0</v>
      </c>
      <c r="J591" s="59">
        <f t="shared" si="2705"/>
        <v>0</v>
      </c>
      <c r="K591" s="74">
        <v>0</v>
      </c>
      <c r="L591" s="74">
        <v>0</v>
      </c>
      <c r="M591" s="74">
        <v>0</v>
      </c>
      <c r="N591" s="74">
        <v>0</v>
      </c>
      <c r="O591" s="61">
        <f t="shared" ref="O591:Q591" si="3059">AA591+AD591+AG591+AJ591+AM591+AP591+AS591+AV591+AY591+BB591+BE591+BH591</f>
        <v>0</v>
      </c>
      <c r="P591" s="61">
        <f t="shared" si="3059"/>
        <v>0</v>
      </c>
      <c r="Q591" s="61">
        <f t="shared" si="3059"/>
        <v>0</v>
      </c>
      <c r="R591" s="61">
        <f t="shared" ref="R591:T591" si="3060">IF(BK591=0,SUM(AA591+AD591+AG591+AJ591+AM591+AP591+AS591+AV591+AY591+BB591+BE591+BH591),BK591)</f>
        <v>0</v>
      </c>
      <c r="S591" s="61">
        <f t="shared" si="3060"/>
        <v>0</v>
      </c>
      <c r="T591" s="61">
        <f t="shared" si="3060"/>
        <v>0</v>
      </c>
      <c r="U591" s="63">
        <f t="shared" ref="U591:U592" si="3061">K591-O591</f>
        <v>0</v>
      </c>
      <c r="V591" s="63">
        <f t="shared" ref="V591:V592" si="3062">L591-M591-S591</f>
        <v>0</v>
      </c>
      <c r="W591" s="63">
        <f t="shared" ref="W591:W592" si="3063">N591-Q591</f>
        <v>0</v>
      </c>
      <c r="X591" s="64">
        <f t="shared" ref="X591:Y591" si="3064">IF(O591&gt;0,O591/K591,0)</f>
        <v>0</v>
      </c>
      <c r="Y591" s="64">
        <f t="shared" si="3064"/>
        <v>0</v>
      </c>
      <c r="Z591" s="64">
        <f t="shared" si="2708"/>
        <v>0</v>
      </c>
      <c r="AA591" s="65"/>
      <c r="AB591" s="65"/>
      <c r="AC591" s="65"/>
      <c r="AD591" s="65"/>
      <c r="AE591" s="66"/>
      <c r="AF591" s="66"/>
      <c r="AG591" s="66"/>
      <c r="AH591" s="66"/>
      <c r="AI591" s="65"/>
      <c r="AJ591" s="65"/>
      <c r="AK591" s="65"/>
      <c r="AL591" s="65"/>
      <c r="AM591" s="65"/>
      <c r="AN591" s="65"/>
      <c r="AO591" s="65"/>
      <c r="AP591" s="65"/>
      <c r="AQ591" s="65"/>
      <c r="AR591" s="65"/>
      <c r="AS591" s="65"/>
      <c r="AT591" s="65"/>
      <c r="AU591" s="65"/>
      <c r="AV591" s="65"/>
      <c r="AW591" s="65"/>
      <c r="AX591" s="65"/>
      <c r="AY591" s="65"/>
      <c r="AZ591" s="65"/>
      <c r="BA591" s="65"/>
      <c r="BB591" s="65"/>
      <c r="BC591" s="65"/>
      <c r="BD591" s="65"/>
      <c r="BE591" s="65"/>
      <c r="BF591" s="65"/>
      <c r="BG591" s="65"/>
      <c r="BH591" s="65"/>
      <c r="BI591" s="65"/>
      <c r="BJ591" s="65"/>
      <c r="BK591" s="65">
        <v>0</v>
      </c>
      <c r="BL591" s="65">
        <v>0</v>
      </c>
      <c r="BM591" s="65">
        <v>0</v>
      </c>
      <c r="BN591" s="65">
        <f t="shared" ref="BN591:BN592" si="3065">IF(O591-BK591&gt;0,O591-BK591,0)</f>
        <v>0</v>
      </c>
      <c r="BO591" s="67">
        <f t="shared" ref="BO591:BO592" si="3066">IF(Q591-BM591&gt;0,Q591-BM591,0)</f>
        <v>0</v>
      </c>
      <c r="BP591" s="65">
        <f t="shared" ref="BP591:BP592" si="3067">IF(BN591+BO591&gt;0,BN591+BO591,0)</f>
        <v>0</v>
      </c>
      <c r="BQ591" s="65">
        <f t="shared" ref="BQ591:BQ592" si="3068">IF(U591=0,0,U591)</f>
        <v>0</v>
      </c>
      <c r="BR591" s="65">
        <f t="shared" ref="BR591:BR592" si="3069">IF(W591=0,0,W591)</f>
        <v>0</v>
      </c>
      <c r="BS591" s="65">
        <f t="shared" ref="BS591:BS592" si="3070">IF(BQ591+BR591&gt;0,BQ591+BR591,0)</f>
        <v>0</v>
      </c>
      <c r="BT591" s="65">
        <f t="shared" ref="BT591:BT592" si="3071">IF(V591&gt;0,V591,0)</f>
        <v>0</v>
      </c>
      <c r="BU591" s="65">
        <f t="shared" ref="BU591:BU592" si="3072">IF(BP591=0,0,BP591)</f>
        <v>0</v>
      </c>
      <c r="BV591" s="65">
        <f t="shared" ref="BV591:BV592" si="3073">IF(BS591=0,0,BS591)</f>
        <v>0</v>
      </c>
      <c r="BW591" s="65">
        <f t="shared" ref="BW591:BW592" si="3074">IF(BP591+BT591+BV591&gt;0,BP591+BT591+BV591,0)</f>
        <v>0</v>
      </c>
      <c r="BX591" s="6"/>
      <c r="BY591" s="6"/>
      <c r="BZ591" s="6"/>
      <c r="CA591" s="6"/>
      <c r="CB591" s="6"/>
      <c r="CC591" s="6"/>
      <c r="CD591" s="6"/>
      <c r="CE591" s="6"/>
      <c r="CF591" s="6"/>
      <c r="CG591" s="6"/>
    </row>
    <row r="592" spans="1:85" ht="15.75" customHeight="1">
      <c r="A592" s="68"/>
      <c r="B592" s="103"/>
      <c r="C592" s="68" t="s">
        <v>110</v>
      </c>
      <c r="D592" s="190" t="s">
        <v>703</v>
      </c>
      <c r="E592" s="56">
        <v>2000</v>
      </c>
      <c r="F592" s="99">
        <v>0</v>
      </c>
      <c r="G592" s="58">
        <f t="shared" si="3058"/>
        <v>2000</v>
      </c>
      <c r="H592" s="99">
        <v>0</v>
      </c>
      <c r="I592" s="59">
        <f t="shared" si="3007"/>
        <v>0</v>
      </c>
      <c r="J592" s="59">
        <f t="shared" si="2705"/>
        <v>0</v>
      </c>
      <c r="K592" s="74">
        <v>0</v>
      </c>
      <c r="L592" s="74">
        <v>0</v>
      </c>
      <c r="M592" s="74">
        <v>0</v>
      </c>
      <c r="N592" s="74">
        <v>0</v>
      </c>
      <c r="O592" s="61">
        <f t="shared" ref="O592:Q592" si="3075">AA592+AD592+AG592+AJ592+AM592+AP592+AS592+AV592+AY592+BB592+BE592+BH592</f>
        <v>0</v>
      </c>
      <c r="P592" s="61">
        <f t="shared" si="3075"/>
        <v>0</v>
      </c>
      <c r="Q592" s="61">
        <f t="shared" si="3075"/>
        <v>0</v>
      </c>
      <c r="R592" s="61">
        <f t="shared" ref="R592:T592" si="3076">IF(BK592=0,SUM(AA592+AD592+AG592+AJ592+AM592+AP592+AS592+AV592+AY592+BB592+BE592+BH592),BK592)</f>
        <v>0</v>
      </c>
      <c r="S592" s="61">
        <f t="shared" si="3076"/>
        <v>0</v>
      </c>
      <c r="T592" s="61">
        <f t="shared" si="3076"/>
        <v>0</v>
      </c>
      <c r="U592" s="63">
        <f t="shared" si="3061"/>
        <v>0</v>
      </c>
      <c r="V592" s="63">
        <f t="shared" si="3062"/>
        <v>0</v>
      </c>
      <c r="W592" s="63">
        <f t="shared" si="3063"/>
        <v>0</v>
      </c>
      <c r="X592" s="64">
        <f t="shared" ref="X592:Y592" si="3077">IF(O592&gt;0,O592/K592,0)</f>
        <v>0</v>
      </c>
      <c r="Y592" s="64">
        <f t="shared" si="3077"/>
        <v>0</v>
      </c>
      <c r="Z592" s="64">
        <f t="shared" si="2708"/>
        <v>0</v>
      </c>
      <c r="AA592" s="65"/>
      <c r="AB592" s="65"/>
      <c r="AC592" s="65"/>
      <c r="AD592" s="65"/>
      <c r="AE592" s="66"/>
      <c r="AF592" s="66"/>
      <c r="AG592" s="66"/>
      <c r="AH592" s="66"/>
      <c r="AI592" s="65"/>
      <c r="AJ592" s="65"/>
      <c r="AK592" s="65"/>
      <c r="AL592" s="65"/>
      <c r="AM592" s="65"/>
      <c r="AN592" s="65"/>
      <c r="AO592" s="65"/>
      <c r="AP592" s="65"/>
      <c r="AQ592" s="65"/>
      <c r="AR592" s="65"/>
      <c r="AS592" s="65"/>
      <c r="AT592" s="65"/>
      <c r="AU592" s="65"/>
      <c r="AV592" s="65"/>
      <c r="AW592" s="65"/>
      <c r="AX592" s="65"/>
      <c r="AY592" s="65"/>
      <c r="AZ592" s="65"/>
      <c r="BA592" s="65"/>
      <c r="BB592" s="65"/>
      <c r="BC592" s="65"/>
      <c r="BD592" s="65"/>
      <c r="BE592" s="65"/>
      <c r="BF592" s="65"/>
      <c r="BG592" s="65"/>
      <c r="BH592" s="65"/>
      <c r="BI592" s="65"/>
      <c r="BJ592" s="65"/>
      <c r="BK592" s="65">
        <v>0</v>
      </c>
      <c r="BL592" s="65">
        <v>0</v>
      </c>
      <c r="BM592" s="65">
        <v>0</v>
      </c>
      <c r="BN592" s="65">
        <f t="shared" si="3065"/>
        <v>0</v>
      </c>
      <c r="BO592" s="67">
        <f t="shared" si="3066"/>
        <v>0</v>
      </c>
      <c r="BP592" s="65">
        <f t="shared" si="3067"/>
        <v>0</v>
      </c>
      <c r="BQ592" s="65">
        <f t="shared" si="3068"/>
        <v>0</v>
      </c>
      <c r="BR592" s="65">
        <f t="shared" si="3069"/>
        <v>0</v>
      </c>
      <c r="BS592" s="65">
        <f t="shared" si="3070"/>
        <v>0</v>
      </c>
      <c r="BT592" s="65">
        <f t="shared" si="3071"/>
        <v>0</v>
      </c>
      <c r="BU592" s="65">
        <f t="shared" si="3072"/>
        <v>0</v>
      </c>
      <c r="BV592" s="65">
        <f t="shared" si="3073"/>
        <v>0</v>
      </c>
      <c r="BW592" s="65">
        <f t="shared" si="3074"/>
        <v>0</v>
      </c>
      <c r="BX592" s="6"/>
      <c r="BY592" s="6"/>
      <c r="BZ592" s="6"/>
      <c r="CA592" s="6"/>
      <c r="CB592" s="6"/>
      <c r="CC592" s="6"/>
      <c r="CD592" s="6"/>
      <c r="CE592" s="6"/>
      <c r="CF592" s="6"/>
      <c r="CG592" s="6"/>
    </row>
    <row r="593" spans="1:85" ht="15.75">
      <c r="A593" s="75"/>
      <c r="B593" s="76"/>
      <c r="C593" s="77"/>
      <c r="D593" s="78" t="s">
        <v>339</v>
      </c>
      <c r="E593" s="45">
        <f t="shared" ref="E593:H593" si="3078">SUM(E594:E595)</f>
        <v>12000</v>
      </c>
      <c r="F593" s="46">
        <f t="shared" si="3078"/>
        <v>0</v>
      </c>
      <c r="G593" s="46">
        <f t="shared" si="3078"/>
        <v>12000</v>
      </c>
      <c r="H593" s="46">
        <f t="shared" si="3078"/>
        <v>0</v>
      </c>
      <c r="I593" s="47">
        <f t="shared" si="3007"/>
        <v>0</v>
      </c>
      <c r="J593" s="47">
        <f t="shared" si="2705"/>
        <v>0</v>
      </c>
      <c r="K593" s="46">
        <f t="shared" ref="K593:W593" si="3079">SUM(K594:K595)</f>
        <v>0</v>
      </c>
      <c r="L593" s="46">
        <f t="shared" si="3079"/>
        <v>0</v>
      </c>
      <c r="M593" s="46">
        <f t="shared" si="3079"/>
        <v>0</v>
      </c>
      <c r="N593" s="46">
        <f t="shared" si="3079"/>
        <v>0</v>
      </c>
      <c r="O593" s="46">
        <f t="shared" si="3079"/>
        <v>0</v>
      </c>
      <c r="P593" s="46">
        <f t="shared" si="3079"/>
        <v>0</v>
      </c>
      <c r="Q593" s="46">
        <f t="shared" si="3079"/>
        <v>0</v>
      </c>
      <c r="R593" s="46">
        <f t="shared" si="3079"/>
        <v>0</v>
      </c>
      <c r="S593" s="46">
        <f t="shared" si="3079"/>
        <v>0</v>
      </c>
      <c r="T593" s="46">
        <f t="shared" si="3079"/>
        <v>0</v>
      </c>
      <c r="U593" s="46">
        <f t="shared" si="3079"/>
        <v>0</v>
      </c>
      <c r="V593" s="46">
        <f t="shared" si="3079"/>
        <v>0</v>
      </c>
      <c r="W593" s="46">
        <f t="shared" si="3079"/>
        <v>0</v>
      </c>
      <c r="X593" s="50">
        <f t="shared" ref="X593:Y593" si="3080">IF(O593&gt;0,O593/K593,0)</f>
        <v>0</v>
      </c>
      <c r="Y593" s="50">
        <f t="shared" si="3080"/>
        <v>0</v>
      </c>
      <c r="Z593" s="50">
        <f t="shared" si="2708"/>
        <v>0</v>
      </c>
      <c r="AA593" s="46">
        <f t="shared" ref="AA593:BW593" si="3081">SUM(AA594:AA595)</f>
        <v>0</v>
      </c>
      <c r="AB593" s="46">
        <f t="shared" si="3081"/>
        <v>0</v>
      </c>
      <c r="AC593" s="46">
        <f t="shared" si="3081"/>
        <v>0</v>
      </c>
      <c r="AD593" s="46">
        <f t="shared" si="3081"/>
        <v>0</v>
      </c>
      <c r="AE593" s="46">
        <f t="shared" si="3081"/>
        <v>0</v>
      </c>
      <c r="AF593" s="46">
        <f t="shared" si="3081"/>
        <v>0</v>
      </c>
      <c r="AG593" s="46">
        <f t="shared" si="3081"/>
        <v>0</v>
      </c>
      <c r="AH593" s="46">
        <f t="shared" si="3081"/>
        <v>0</v>
      </c>
      <c r="AI593" s="46">
        <f t="shared" si="3081"/>
        <v>0</v>
      </c>
      <c r="AJ593" s="46">
        <f t="shared" si="3081"/>
        <v>0</v>
      </c>
      <c r="AK593" s="46">
        <f t="shared" si="3081"/>
        <v>0</v>
      </c>
      <c r="AL593" s="46">
        <f t="shared" si="3081"/>
        <v>0</v>
      </c>
      <c r="AM593" s="46">
        <f t="shared" si="3081"/>
        <v>0</v>
      </c>
      <c r="AN593" s="46">
        <f t="shared" si="3081"/>
        <v>0</v>
      </c>
      <c r="AO593" s="46">
        <f t="shared" si="3081"/>
        <v>0</v>
      </c>
      <c r="AP593" s="46">
        <f t="shared" si="3081"/>
        <v>0</v>
      </c>
      <c r="AQ593" s="46">
        <f t="shared" si="3081"/>
        <v>0</v>
      </c>
      <c r="AR593" s="46">
        <f t="shared" si="3081"/>
        <v>0</v>
      </c>
      <c r="AS593" s="46">
        <f t="shared" si="3081"/>
        <v>0</v>
      </c>
      <c r="AT593" s="46">
        <f t="shared" si="3081"/>
        <v>0</v>
      </c>
      <c r="AU593" s="46">
        <f t="shared" si="3081"/>
        <v>0</v>
      </c>
      <c r="AV593" s="46">
        <f t="shared" si="3081"/>
        <v>0</v>
      </c>
      <c r="AW593" s="46">
        <f t="shared" si="3081"/>
        <v>0</v>
      </c>
      <c r="AX593" s="46">
        <f t="shared" si="3081"/>
        <v>0</v>
      </c>
      <c r="AY593" s="46">
        <f t="shared" si="3081"/>
        <v>0</v>
      </c>
      <c r="AZ593" s="46">
        <f t="shared" si="3081"/>
        <v>0</v>
      </c>
      <c r="BA593" s="46">
        <f t="shared" si="3081"/>
        <v>0</v>
      </c>
      <c r="BB593" s="46">
        <f t="shared" si="3081"/>
        <v>0</v>
      </c>
      <c r="BC593" s="46">
        <f t="shared" si="3081"/>
        <v>0</v>
      </c>
      <c r="BD593" s="46">
        <f t="shared" si="3081"/>
        <v>0</v>
      </c>
      <c r="BE593" s="46">
        <f t="shared" si="3081"/>
        <v>0</v>
      </c>
      <c r="BF593" s="46">
        <f t="shared" si="3081"/>
        <v>0</v>
      </c>
      <c r="BG593" s="46">
        <f t="shared" si="3081"/>
        <v>0</v>
      </c>
      <c r="BH593" s="46">
        <f t="shared" si="3081"/>
        <v>0</v>
      </c>
      <c r="BI593" s="46">
        <f t="shared" si="3081"/>
        <v>0</v>
      </c>
      <c r="BJ593" s="46">
        <f t="shared" si="3081"/>
        <v>0</v>
      </c>
      <c r="BK593" s="46">
        <f t="shared" si="3081"/>
        <v>0</v>
      </c>
      <c r="BL593" s="46">
        <f t="shared" si="3081"/>
        <v>0</v>
      </c>
      <c r="BM593" s="46">
        <f t="shared" si="3081"/>
        <v>0</v>
      </c>
      <c r="BN593" s="46">
        <f t="shared" si="3081"/>
        <v>0</v>
      </c>
      <c r="BO593" s="46">
        <f t="shared" si="3081"/>
        <v>0</v>
      </c>
      <c r="BP593" s="46">
        <f t="shared" si="3081"/>
        <v>0</v>
      </c>
      <c r="BQ593" s="46">
        <f t="shared" si="3081"/>
        <v>0</v>
      </c>
      <c r="BR593" s="46">
        <f t="shared" si="3081"/>
        <v>0</v>
      </c>
      <c r="BS593" s="46">
        <f t="shared" si="3081"/>
        <v>0</v>
      </c>
      <c r="BT593" s="46">
        <f t="shared" si="3081"/>
        <v>0</v>
      </c>
      <c r="BU593" s="46">
        <f t="shared" si="3081"/>
        <v>0</v>
      </c>
      <c r="BV593" s="46">
        <f t="shared" si="3081"/>
        <v>0</v>
      </c>
      <c r="BW593" s="46">
        <f t="shared" si="3081"/>
        <v>0</v>
      </c>
      <c r="BX593" s="51"/>
      <c r="BY593" s="51"/>
      <c r="BZ593" s="51"/>
      <c r="CA593" s="51"/>
      <c r="CB593" s="51"/>
      <c r="CC593" s="51"/>
      <c r="CD593" s="51"/>
      <c r="CE593" s="51"/>
      <c r="CF593" s="51"/>
      <c r="CG593" s="51"/>
    </row>
    <row r="594" spans="1:85" ht="15.75" customHeight="1">
      <c r="A594" s="68"/>
      <c r="B594" s="103"/>
      <c r="C594" s="68" t="s">
        <v>340</v>
      </c>
      <c r="D594" s="171" t="s">
        <v>704</v>
      </c>
      <c r="E594" s="56">
        <v>2000</v>
      </c>
      <c r="F594" s="99">
        <v>0</v>
      </c>
      <c r="G594" s="58">
        <f t="shared" ref="G594:G595" si="3082">E594-F594</f>
        <v>2000</v>
      </c>
      <c r="H594" s="99">
        <v>0</v>
      </c>
      <c r="I594" s="59">
        <f t="shared" si="3007"/>
        <v>0</v>
      </c>
      <c r="J594" s="59">
        <f t="shared" si="2705"/>
        <v>0</v>
      </c>
      <c r="K594" s="74">
        <v>0</v>
      </c>
      <c r="L594" s="74">
        <v>0</v>
      </c>
      <c r="M594" s="74">
        <v>0</v>
      </c>
      <c r="N594" s="74">
        <v>0</v>
      </c>
      <c r="O594" s="61">
        <f t="shared" ref="O594:Q594" si="3083">AA594+AD594+AG594+AJ594+AM594+AP594+AS594+AV594+AY594+BB594+BE594+BH594</f>
        <v>0</v>
      </c>
      <c r="P594" s="61">
        <f t="shared" si="3083"/>
        <v>0</v>
      </c>
      <c r="Q594" s="61">
        <f t="shared" si="3083"/>
        <v>0</v>
      </c>
      <c r="R594" s="61">
        <f t="shared" ref="R594:T594" si="3084">IF(BK594=0,SUM(AA594+AD594+AG594+AJ594+AM594+AP594+AS594+AV594+AY594+BB594+BE594+BH594),BK594)</f>
        <v>0</v>
      </c>
      <c r="S594" s="61">
        <f t="shared" si="3084"/>
        <v>0</v>
      </c>
      <c r="T594" s="61">
        <f t="shared" si="3084"/>
        <v>0</v>
      </c>
      <c r="U594" s="63">
        <f t="shared" ref="U594:U595" si="3085">K594-O594</f>
        <v>0</v>
      </c>
      <c r="V594" s="63">
        <f t="shared" ref="V594:V595" si="3086">L594-M594-S594</f>
        <v>0</v>
      </c>
      <c r="W594" s="63">
        <f t="shared" ref="W594:W595" si="3087">N594-Q594</f>
        <v>0</v>
      </c>
      <c r="X594" s="64">
        <f t="shared" ref="X594:Y594" si="3088">IF(O594&gt;0,O594/K594,0)</f>
        <v>0</v>
      </c>
      <c r="Y594" s="64">
        <f t="shared" si="3088"/>
        <v>0</v>
      </c>
      <c r="Z594" s="64">
        <f t="shared" si="2708"/>
        <v>0</v>
      </c>
      <c r="AA594" s="65"/>
      <c r="AB594" s="65"/>
      <c r="AC594" s="65"/>
      <c r="AD594" s="65"/>
      <c r="AE594" s="66"/>
      <c r="AF594" s="66"/>
      <c r="AG594" s="66"/>
      <c r="AH594" s="66"/>
      <c r="AI594" s="65"/>
      <c r="AJ594" s="65"/>
      <c r="AK594" s="65"/>
      <c r="AL594" s="65"/>
      <c r="AM594" s="65"/>
      <c r="AN594" s="65"/>
      <c r="AO594" s="65"/>
      <c r="AP594" s="65"/>
      <c r="AQ594" s="65"/>
      <c r="AR594" s="65"/>
      <c r="AS594" s="65"/>
      <c r="AT594" s="65"/>
      <c r="AU594" s="65"/>
      <c r="AV594" s="65"/>
      <c r="AW594" s="65"/>
      <c r="AX594" s="65"/>
      <c r="AY594" s="65"/>
      <c r="AZ594" s="65"/>
      <c r="BA594" s="65"/>
      <c r="BB594" s="65"/>
      <c r="BC594" s="65"/>
      <c r="BD594" s="65"/>
      <c r="BE594" s="65"/>
      <c r="BF594" s="65"/>
      <c r="BG594" s="65"/>
      <c r="BH594" s="65"/>
      <c r="BI594" s="65"/>
      <c r="BJ594" s="65"/>
      <c r="BK594" s="65">
        <v>0</v>
      </c>
      <c r="BL594" s="65">
        <v>0</v>
      </c>
      <c r="BM594" s="65">
        <v>0</v>
      </c>
      <c r="BN594" s="65">
        <f t="shared" ref="BN594:BN595" si="3089">IF(O594-BK594&gt;0,O594-BK594,0)</f>
        <v>0</v>
      </c>
      <c r="BO594" s="67">
        <f t="shared" ref="BO594:BO595" si="3090">IF(Q594-BM594&gt;0,Q594-BM594,0)</f>
        <v>0</v>
      </c>
      <c r="BP594" s="65">
        <f t="shared" ref="BP594:BP595" si="3091">IF(BN594+BO594&gt;0,BN594+BO594,0)</f>
        <v>0</v>
      </c>
      <c r="BQ594" s="65">
        <f t="shared" ref="BQ594:BQ595" si="3092">IF(U594=0,0,U594)</f>
        <v>0</v>
      </c>
      <c r="BR594" s="65">
        <f t="shared" ref="BR594:BR595" si="3093">IF(W594=0,0,W594)</f>
        <v>0</v>
      </c>
      <c r="BS594" s="65">
        <f t="shared" ref="BS594:BS595" si="3094">IF(BQ594+BR594&gt;0,BQ594+BR594,0)</f>
        <v>0</v>
      </c>
      <c r="BT594" s="65">
        <f t="shared" ref="BT594:BT595" si="3095">IF(V594&gt;0,V594,0)</f>
        <v>0</v>
      </c>
      <c r="BU594" s="65">
        <f t="shared" ref="BU594:BU595" si="3096">IF(BP594=0,0,BP594)</f>
        <v>0</v>
      </c>
      <c r="BV594" s="65">
        <f t="shared" ref="BV594:BV595" si="3097">IF(BS594=0,0,BS594)</f>
        <v>0</v>
      </c>
      <c r="BW594" s="65">
        <f t="shared" ref="BW594:BW595" si="3098">IF(BP594+BT594+BV594&gt;0,BP594+BT594+BV594,0)</f>
        <v>0</v>
      </c>
      <c r="BX594" s="6"/>
      <c r="BY594" s="6"/>
      <c r="BZ594" s="6"/>
      <c r="CA594" s="6"/>
      <c r="CB594" s="6"/>
      <c r="CC594" s="6"/>
      <c r="CD594" s="6"/>
      <c r="CE594" s="6"/>
      <c r="CF594" s="6"/>
      <c r="CG594" s="6"/>
    </row>
    <row r="595" spans="1:85" ht="15.75" customHeight="1">
      <c r="A595" s="68"/>
      <c r="B595" s="103"/>
      <c r="C595" s="68" t="s">
        <v>346</v>
      </c>
      <c r="D595" s="190" t="s">
        <v>705</v>
      </c>
      <c r="E595" s="56">
        <v>10000</v>
      </c>
      <c r="F595" s="99">
        <v>0</v>
      </c>
      <c r="G595" s="58">
        <f t="shared" si="3082"/>
        <v>10000</v>
      </c>
      <c r="H595" s="99">
        <v>0</v>
      </c>
      <c r="I595" s="59">
        <f t="shared" si="3007"/>
        <v>0</v>
      </c>
      <c r="J595" s="59">
        <f t="shared" si="2705"/>
        <v>0</v>
      </c>
      <c r="K595" s="74">
        <v>0</v>
      </c>
      <c r="L595" s="74">
        <v>0</v>
      </c>
      <c r="M595" s="74">
        <v>0</v>
      </c>
      <c r="N595" s="74">
        <v>0</v>
      </c>
      <c r="O595" s="61">
        <f t="shared" ref="O595:Q595" si="3099">AA595+AD595+AG595+AJ595+AM595+AP595+AS595+AV595+AY595+BB595+BE595+BH595</f>
        <v>0</v>
      </c>
      <c r="P595" s="61">
        <f t="shared" si="3099"/>
        <v>0</v>
      </c>
      <c r="Q595" s="61">
        <f t="shared" si="3099"/>
        <v>0</v>
      </c>
      <c r="R595" s="61">
        <f t="shared" ref="R595:T595" si="3100">IF(BK595=0,SUM(AA595+AD595+AG595+AJ595+AM595+AP595+AS595+AV595+AY595+BB595+BE595+BH595),BK595)</f>
        <v>0</v>
      </c>
      <c r="S595" s="61">
        <f t="shared" si="3100"/>
        <v>0</v>
      </c>
      <c r="T595" s="61">
        <f t="shared" si="3100"/>
        <v>0</v>
      </c>
      <c r="U595" s="63">
        <f t="shared" si="3085"/>
        <v>0</v>
      </c>
      <c r="V595" s="63">
        <f t="shared" si="3086"/>
        <v>0</v>
      </c>
      <c r="W595" s="63">
        <f t="shared" si="3087"/>
        <v>0</v>
      </c>
      <c r="X595" s="64">
        <f t="shared" ref="X595:Y595" si="3101">IF(O595&gt;0,O595/K595,0)</f>
        <v>0</v>
      </c>
      <c r="Y595" s="64">
        <f t="shared" si="3101"/>
        <v>0</v>
      </c>
      <c r="Z595" s="64">
        <f t="shared" si="2708"/>
        <v>0</v>
      </c>
      <c r="AA595" s="65"/>
      <c r="AB595" s="65"/>
      <c r="AC595" s="65"/>
      <c r="AD595" s="65"/>
      <c r="AE595" s="66"/>
      <c r="AF595" s="66"/>
      <c r="AG595" s="66"/>
      <c r="AH595" s="66"/>
      <c r="AI595" s="65"/>
      <c r="AJ595" s="65"/>
      <c r="AK595" s="65"/>
      <c r="AL595" s="65"/>
      <c r="AM595" s="65"/>
      <c r="AN595" s="65"/>
      <c r="AO595" s="65"/>
      <c r="AP595" s="65"/>
      <c r="AQ595" s="65"/>
      <c r="AR595" s="65"/>
      <c r="AS595" s="65"/>
      <c r="AT595" s="65"/>
      <c r="AU595" s="65"/>
      <c r="AV595" s="65"/>
      <c r="AW595" s="65"/>
      <c r="AX595" s="65"/>
      <c r="AY595" s="65"/>
      <c r="AZ595" s="65"/>
      <c r="BA595" s="65"/>
      <c r="BB595" s="65"/>
      <c r="BC595" s="65"/>
      <c r="BD595" s="65"/>
      <c r="BE595" s="65"/>
      <c r="BF595" s="65"/>
      <c r="BG595" s="65"/>
      <c r="BH595" s="65"/>
      <c r="BI595" s="65"/>
      <c r="BJ595" s="65"/>
      <c r="BK595" s="65">
        <v>0</v>
      </c>
      <c r="BL595" s="65">
        <v>0</v>
      </c>
      <c r="BM595" s="65">
        <v>0</v>
      </c>
      <c r="BN595" s="65">
        <f t="shared" si="3089"/>
        <v>0</v>
      </c>
      <c r="BO595" s="67">
        <f t="shared" si="3090"/>
        <v>0</v>
      </c>
      <c r="BP595" s="65">
        <f t="shared" si="3091"/>
        <v>0</v>
      </c>
      <c r="BQ595" s="65">
        <f t="shared" si="3092"/>
        <v>0</v>
      </c>
      <c r="BR595" s="65">
        <f t="shared" si="3093"/>
        <v>0</v>
      </c>
      <c r="BS595" s="65">
        <f t="shared" si="3094"/>
        <v>0</v>
      </c>
      <c r="BT595" s="65">
        <f t="shared" si="3095"/>
        <v>0</v>
      </c>
      <c r="BU595" s="65">
        <f t="shared" si="3096"/>
        <v>0</v>
      </c>
      <c r="BV595" s="65">
        <f t="shared" si="3097"/>
        <v>0</v>
      </c>
      <c r="BW595" s="65">
        <f t="shared" si="3098"/>
        <v>0</v>
      </c>
      <c r="BX595" s="6"/>
      <c r="BY595" s="6"/>
      <c r="BZ595" s="6"/>
      <c r="CA595" s="6"/>
      <c r="CB595" s="6"/>
      <c r="CC595" s="6"/>
      <c r="CD595" s="6"/>
      <c r="CE595" s="6"/>
      <c r="CF595" s="6"/>
      <c r="CG595" s="6"/>
    </row>
    <row r="596" spans="1:85" ht="15.75">
      <c r="A596" s="75"/>
      <c r="B596" s="76"/>
      <c r="C596" s="77"/>
      <c r="D596" s="44" t="s">
        <v>168</v>
      </c>
      <c r="E596" s="45">
        <f t="shared" ref="E596:H596" si="3102">SUM(E597:E604)</f>
        <v>51000</v>
      </c>
      <c r="F596" s="45">
        <f t="shared" si="3102"/>
        <v>0</v>
      </c>
      <c r="G596" s="45">
        <f t="shared" si="3102"/>
        <v>51000</v>
      </c>
      <c r="H596" s="45">
        <f t="shared" si="3102"/>
        <v>0</v>
      </c>
      <c r="I596" s="47">
        <f t="shared" si="3007"/>
        <v>0</v>
      </c>
      <c r="J596" s="47">
        <f t="shared" si="2705"/>
        <v>0</v>
      </c>
      <c r="K596" s="45">
        <f t="shared" ref="K596:W596" si="3103">SUM(K597:K604)</f>
        <v>0</v>
      </c>
      <c r="L596" s="45">
        <f t="shared" si="3103"/>
        <v>1320</v>
      </c>
      <c r="M596" s="45">
        <f t="shared" si="3103"/>
        <v>0</v>
      </c>
      <c r="N596" s="45">
        <f t="shared" si="3103"/>
        <v>0</v>
      </c>
      <c r="O596" s="45">
        <f t="shared" si="3103"/>
        <v>0</v>
      </c>
      <c r="P596" s="45">
        <f t="shared" si="3103"/>
        <v>1320</v>
      </c>
      <c r="Q596" s="45">
        <f t="shared" si="3103"/>
        <v>0</v>
      </c>
      <c r="R596" s="45">
        <f t="shared" si="3103"/>
        <v>0</v>
      </c>
      <c r="S596" s="45">
        <f t="shared" si="3103"/>
        <v>1320</v>
      </c>
      <c r="T596" s="45">
        <f t="shared" si="3103"/>
        <v>0</v>
      </c>
      <c r="U596" s="45">
        <f t="shared" si="3103"/>
        <v>0</v>
      </c>
      <c r="V596" s="45">
        <f t="shared" si="3103"/>
        <v>0</v>
      </c>
      <c r="W596" s="45">
        <f t="shared" si="3103"/>
        <v>0</v>
      </c>
      <c r="X596" s="50">
        <f t="shared" ref="X596:Y596" si="3104">IF(O596&gt;0,O596/K596,0)</f>
        <v>0</v>
      </c>
      <c r="Y596" s="50">
        <f t="shared" si="3104"/>
        <v>1</v>
      </c>
      <c r="Z596" s="50">
        <f t="shared" si="2708"/>
        <v>0</v>
      </c>
      <c r="AA596" s="45">
        <f t="shared" ref="AA596:BW596" si="3105">SUM(AA597:AA604)</f>
        <v>0</v>
      </c>
      <c r="AB596" s="45">
        <f t="shared" si="3105"/>
        <v>0</v>
      </c>
      <c r="AC596" s="45">
        <f t="shared" si="3105"/>
        <v>0</v>
      </c>
      <c r="AD596" s="45">
        <f t="shared" si="3105"/>
        <v>0</v>
      </c>
      <c r="AE596" s="45">
        <f t="shared" si="3105"/>
        <v>0</v>
      </c>
      <c r="AF596" s="45">
        <f t="shared" si="3105"/>
        <v>0</v>
      </c>
      <c r="AG596" s="45">
        <f t="shared" si="3105"/>
        <v>0</v>
      </c>
      <c r="AH596" s="45">
        <f t="shared" si="3105"/>
        <v>0</v>
      </c>
      <c r="AI596" s="45">
        <f t="shared" si="3105"/>
        <v>0</v>
      </c>
      <c r="AJ596" s="45">
        <f t="shared" si="3105"/>
        <v>0</v>
      </c>
      <c r="AK596" s="45">
        <f t="shared" si="3105"/>
        <v>1320</v>
      </c>
      <c r="AL596" s="45">
        <f t="shared" si="3105"/>
        <v>0</v>
      </c>
      <c r="AM596" s="45">
        <f t="shared" si="3105"/>
        <v>0</v>
      </c>
      <c r="AN596" s="45">
        <f t="shared" si="3105"/>
        <v>0</v>
      </c>
      <c r="AO596" s="45">
        <f t="shared" si="3105"/>
        <v>0</v>
      </c>
      <c r="AP596" s="45">
        <f t="shared" si="3105"/>
        <v>0</v>
      </c>
      <c r="AQ596" s="45">
        <f t="shared" si="3105"/>
        <v>0</v>
      </c>
      <c r="AR596" s="45">
        <f t="shared" si="3105"/>
        <v>0</v>
      </c>
      <c r="AS596" s="45">
        <f t="shared" si="3105"/>
        <v>0</v>
      </c>
      <c r="AT596" s="45">
        <f t="shared" si="3105"/>
        <v>0</v>
      </c>
      <c r="AU596" s="45">
        <f t="shared" si="3105"/>
        <v>0</v>
      </c>
      <c r="AV596" s="45">
        <f t="shared" si="3105"/>
        <v>0</v>
      </c>
      <c r="AW596" s="45">
        <f t="shared" si="3105"/>
        <v>0</v>
      </c>
      <c r="AX596" s="45">
        <f t="shared" si="3105"/>
        <v>0</v>
      </c>
      <c r="AY596" s="45">
        <f t="shared" si="3105"/>
        <v>0</v>
      </c>
      <c r="AZ596" s="45">
        <f t="shared" si="3105"/>
        <v>0</v>
      </c>
      <c r="BA596" s="45">
        <f t="shared" si="3105"/>
        <v>0</v>
      </c>
      <c r="BB596" s="45">
        <f t="shared" si="3105"/>
        <v>0</v>
      </c>
      <c r="BC596" s="45">
        <f t="shared" si="3105"/>
        <v>0</v>
      </c>
      <c r="BD596" s="45">
        <f t="shared" si="3105"/>
        <v>0</v>
      </c>
      <c r="BE596" s="45">
        <f t="shared" si="3105"/>
        <v>0</v>
      </c>
      <c r="BF596" s="45">
        <f t="shared" si="3105"/>
        <v>0</v>
      </c>
      <c r="BG596" s="45">
        <f t="shared" si="3105"/>
        <v>0</v>
      </c>
      <c r="BH596" s="45">
        <f t="shared" si="3105"/>
        <v>0</v>
      </c>
      <c r="BI596" s="45">
        <f t="shared" si="3105"/>
        <v>0</v>
      </c>
      <c r="BJ596" s="45">
        <f t="shared" si="3105"/>
        <v>0</v>
      </c>
      <c r="BK596" s="45">
        <f t="shared" si="3105"/>
        <v>0</v>
      </c>
      <c r="BL596" s="45">
        <f t="shared" si="3105"/>
        <v>0</v>
      </c>
      <c r="BM596" s="45">
        <f t="shared" si="3105"/>
        <v>0</v>
      </c>
      <c r="BN596" s="45">
        <f t="shared" si="3105"/>
        <v>0</v>
      </c>
      <c r="BO596" s="45">
        <f t="shared" si="3105"/>
        <v>0</v>
      </c>
      <c r="BP596" s="45">
        <f t="shared" si="3105"/>
        <v>0</v>
      </c>
      <c r="BQ596" s="45">
        <f t="shared" si="3105"/>
        <v>0</v>
      </c>
      <c r="BR596" s="45">
        <f t="shared" si="3105"/>
        <v>0</v>
      </c>
      <c r="BS596" s="45">
        <f t="shared" si="3105"/>
        <v>0</v>
      </c>
      <c r="BT596" s="45">
        <f t="shared" si="3105"/>
        <v>0</v>
      </c>
      <c r="BU596" s="45">
        <f t="shared" si="3105"/>
        <v>0</v>
      </c>
      <c r="BV596" s="45">
        <f t="shared" si="3105"/>
        <v>0</v>
      </c>
      <c r="BW596" s="45">
        <f t="shared" si="3105"/>
        <v>0</v>
      </c>
      <c r="BX596" s="51"/>
      <c r="BY596" s="51"/>
      <c r="BZ596" s="51"/>
      <c r="CA596" s="51"/>
      <c r="CB596" s="51"/>
      <c r="CC596" s="51"/>
      <c r="CD596" s="51"/>
      <c r="CE596" s="51"/>
      <c r="CF596" s="51"/>
      <c r="CG596" s="51"/>
    </row>
    <row r="597" spans="1:85" ht="15.75" customHeight="1">
      <c r="A597" s="68"/>
      <c r="B597" s="103"/>
      <c r="C597" s="68" t="s">
        <v>170</v>
      </c>
      <c r="D597" s="373" t="s">
        <v>706</v>
      </c>
      <c r="E597" s="99">
        <v>0</v>
      </c>
      <c r="F597" s="99">
        <v>0</v>
      </c>
      <c r="G597" s="58">
        <f t="shared" ref="G597:G604" si="3106">E597-F597</f>
        <v>0</v>
      </c>
      <c r="H597" s="99">
        <v>0</v>
      </c>
      <c r="I597" s="59">
        <f t="shared" si="3007"/>
        <v>0</v>
      </c>
      <c r="J597" s="59">
        <f t="shared" si="2705"/>
        <v>0</v>
      </c>
      <c r="K597" s="74">
        <v>0</v>
      </c>
      <c r="L597" s="74">
        <v>0</v>
      </c>
      <c r="M597" s="74">
        <v>0</v>
      </c>
      <c r="N597" s="74">
        <v>0</v>
      </c>
      <c r="O597" s="61">
        <f t="shared" ref="O597:Q597" si="3107">AA597+AD597+AG597+AJ597+AM597+AP597+AS597+AV597+AY597+BB597+BE597+BH597</f>
        <v>0</v>
      </c>
      <c r="P597" s="61">
        <f t="shared" si="3107"/>
        <v>0</v>
      </c>
      <c r="Q597" s="61">
        <f t="shared" si="3107"/>
        <v>0</v>
      </c>
      <c r="R597" s="61">
        <f t="shared" ref="R597:T597" si="3108">IF(BK597=0,SUM(AA597+AD597+AG597+AJ597+AM597+AP597+AS597+AV597+AY597+BB597+BE597+BH597),BK597)</f>
        <v>0</v>
      </c>
      <c r="S597" s="61">
        <f t="shared" si="3108"/>
        <v>0</v>
      </c>
      <c r="T597" s="61">
        <f t="shared" si="3108"/>
        <v>0</v>
      </c>
      <c r="U597" s="63">
        <f t="shared" ref="U597:U604" si="3109">K597-O597</f>
        <v>0</v>
      </c>
      <c r="V597" s="63">
        <f t="shared" ref="V597:V604" si="3110">L597-M597-S597</f>
        <v>0</v>
      </c>
      <c r="W597" s="63">
        <f t="shared" ref="W597:W604" si="3111">N597-Q597</f>
        <v>0</v>
      </c>
      <c r="X597" s="64">
        <f t="shared" ref="X597:Y597" si="3112">IF(O597&gt;0,O597/K597,0)</f>
        <v>0</v>
      </c>
      <c r="Y597" s="64">
        <f t="shared" si="3112"/>
        <v>0</v>
      </c>
      <c r="Z597" s="64">
        <f t="shared" si="2708"/>
        <v>0</v>
      </c>
      <c r="AA597" s="65"/>
      <c r="AB597" s="65"/>
      <c r="AC597" s="65"/>
      <c r="AD597" s="65"/>
      <c r="AE597" s="66"/>
      <c r="AF597" s="66"/>
      <c r="AG597" s="66"/>
      <c r="AH597" s="66"/>
      <c r="AI597" s="65"/>
      <c r="AJ597" s="65"/>
      <c r="AK597" s="65"/>
      <c r="AL597" s="65"/>
      <c r="AM597" s="65"/>
      <c r="AN597" s="65"/>
      <c r="AO597" s="65"/>
      <c r="AP597" s="65"/>
      <c r="AQ597" s="65"/>
      <c r="AR597" s="65"/>
      <c r="AS597" s="65"/>
      <c r="AT597" s="65"/>
      <c r="AU597" s="65"/>
      <c r="AV597" s="65"/>
      <c r="AW597" s="65"/>
      <c r="AX597" s="65"/>
      <c r="AY597" s="65"/>
      <c r="AZ597" s="65"/>
      <c r="BA597" s="65"/>
      <c r="BB597" s="65"/>
      <c r="BC597" s="65"/>
      <c r="BD597" s="65"/>
      <c r="BE597" s="65"/>
      <c r="BF597" s="65"/>
      <c r="BG597" s="65"/>
      <c r="BH597" s="65"/>
      <c r="BI597" s="65"/>
      <c r="BJ597" s="65"/>
      <c r="BK597" s="65">
        <v>0</v>
      </c>
      <c r="BL597" s="65">
        <v>0</v>
      </c>
      <c r="BM597" s="65">
        <v>0</v>
      </c>
      <c r="BN597" s="65">
        <f t="shared" ref="BN597:BN604" si="3113">IF(O597-BK597&gt;0,O597-BK597,0)</f>
        <v>0</v>
      </c>
      <c r="BO597" s="67">
        <f t="shared" ref="BO597:BO604" si="3114">IF(Q597-BM597&gt;0,Q597-BM597,0)</f>
        <v>0</v>
      </c>
      <c r="BP597" s="65">
        <f t="shared" ref="BP597:BP604" si="3115">IF(BN597+BO597&gt;0,BN597+BO597,0)</f>
        <v>0</v>
      </c>
      <c r="BQ597" s="65">
        <f t="shared" ref="BQ597:BQ604" si="3116">IF(U597=0,0,U597)</f>
        <v>0</v>
      </c>
      <c r="BR597" s="65">
        <f t="shared" ref="BR597:BR604" si="3117">IF(W597=0,0,W597)</f>
        <v>0</v>
      </c>
      <c r="BS597" s="65">
        <f t="shared" ref="BS597:BS604" si="3118">IF(BQ597+BR597&gt;0,BQ597+BR597,0)</f>
        <v>0</v>
      </c>
      <c r="BT597" s="65">
        <f t="shared" ref="BT597:BT604" si="3119">IF(V597&gt;0,V597,0)</f>
        <v>0</v>
      </c>
      <c r="BU597" s="65">
        <f t="shared" ref="BU597:BU604" si="3120">IF(BP597=0,0,BP597)</f>
        <v>0</v>
      </c>
      <c r="BV597" s="65">
        <f t="shared" ref="BV597:BV604" si="3121">IF(BS597=0,0,BS597)</f>
        <v>0</v>
      </c>
      <c r="BW597" s="65">
        <f t="shared" ref="BW597:BW604" si="3122">IF(BP597+BT597+BV597&gt;0,BP597+BT597+BV597,0)</f>
        <v>0</v>
      </c>
      <c r="BX597" s="6"/>
      <c r="BY597" s="6"/>
      <c r="BZ597" s="6"/>
      <c r="CA597" s="6"/>
      <c r="CB597" s="6"/>
      <c r="CC597" s="6"/>
      <c r="CD597" s="6"/>
      <c r="CE597" s="6"/>
      <c r="CF597" s="6"/>
      <c r="CG597" s="6"/>
    </row>
    <row r="598" spans="1:85" ht="15.75" customHeight="1">
      <c r="A598" s="68"/>
      <c r="B598" s="68" t="s">
        <v>707</v>
      </c>
      <c r="C598" s="68" t="s">
        <v>170</v>
      </c>
      <c r="D598" s="373" t="s">
        <v>708</v>
      </c>
      <c r="E598" s="99">
        <v>0</v>
      </c>
      <c r="F598" s="99">
        <v>0</v>
      </c>
      <c r="G598" s="58">
        <f t="shared" si="3106"/>
        <v>0</v>
      </c>
      <c r="H598" s="99">
        <v>0</v>
      </c>
      <c r="I598" s="59">
        <f t="shared" si="3007"/>
        <v>0</v>
      </c>
      <c r="J598" s="59">
        <f t="shared" si="2705"/>
        <v>0</v>
      </c>
      <c r="K598" s="74">
        <v>0</v>
      </c>
      <c r="L598" s="74">
        <v>1320</v>
      </c>
      <c r="M598" s="74">
        <v>0</v>
      </c>
      <c r="N598" s="74">
        <v>0</v>
      </c>
      <c r="O598" s="61">
        <f t="shared" ref="O598:Q598" si="3123">AA598+AD598+AG598+AJ598+AM598+AP598+AS598+AV598+AY598+BB598+BE598+BH598</f>
        <v>0</v>
      </c>
      <c r="P598" s="61">
        <f t="shared" si="3123"/>
        <v>1320</v>
      </c>
      <c r="Q598" s="61">
        <f t="shared" si="3123"/>
        <v>0</v>
      </c>
      <c r="R598" s="61">
        <f t="shared" ref="R598:T598" si="3124">IF(BK598=0,SUM(AA598+AD598+AG598+AJ598+AM598+AP598+AS598+AV598+AY598+BB598+BE598+BH598),BK598)</f>
        <v>0</v>
      </c>
      <c r="S598" s="61">
        <f t="shared" si="3124"/>
        <v>1320</v>
      </c>
      <c r="T598" s="61">
        <f t="shared" si="3124"/>
        <v>0</v>
      </c>
      <c r="U598" s="63">
        <f t="shared" si="3109"/>
        <v>0</v>
      </c>
      <c r="V598" s="63">
        <f t="shared" si="3110"/>
        <v>0</v>
      </c>
      <c r="W598" s="63">
        <f t="shared" si="3111"/>
        <v>0</v>
      </c>
      <c r="X598" s="64">
        <f t="shared" ref="X598:Y598" si="3125">IF(O598&gt;0,O598/K598,0)</f>
        <v>0</v>
      </c>
      <c r="Y598" s="64">
        <f t="shared" si="3125"/>
        <v>1</v>
      </c>
      <c r="Z598" s="64">
        <f t="shared" si="2708"/>
        <v>0</v>
      </c>
      <c r="AA598" s="65"/>
      <c r="AB598" s="65"/>
      <c r="AC598" s="65"/>
      <c r="AD598" s="65"/>
      <c r="AE598" s="66"/>
      <c r="AF598" s="66"/>
      <c r="AG598" s="66"/>
      <c r="AH598" s="66"/>
      <c r="AI598" s="65"/>
      <c r="AJ598" s="65"/>
      <c r="AK598" s="100">
        <v>1320</v>
      </c>
      <c r="AL598" s="65"/>
      <c r="AM598" s="65"/>
      <c r="AN598" s="65"/>
      <c r="AO598" s="65"/>
      <c r="AP598" s="65"/>
      <c r="AQ598" s="65"/>
      <c r="AR598" s="65"/>
      <c r="AS598" s="65"/>
      <c r="AT598" s="65"/>
      <c r="AU598" s="65"/>
      <c r="AV598" s="65"/>
      <c r="AW598" s="65"/>
      <c r="AX598" s="65"/>
      <c r="AY598" s="65"/>
      <c r="AZ598" s="65"/>
      <c r="BA598" s="65"/>
      <c r="BB598" s="65"/>
      <c r="BC598" s="65"/>
      <c r="BD598" s="65"/>
      <c r="BE598" s="65"/>
      <c r="BF598" s="65"/>
      <c r="BG598" s="65"/>
      <c r="BH598" s="65"/>
      <c r="BI598" s="65"/>
      <c r="BJ598" s="65"/>
      <c r="BK598" s="65">
        <v>0</v>
      </c>
      <c r="BL598" s="65">
        <v>0</v>
      </c>
      <c r="BM598" s="65">
        <v>0</v>
      </c>
      <c r="BN598" s="65">
        <f t="shared" si="3113"/>
        <v>0</v>
      </c>
      <c r="BO598" s="67">
        <f t="shared" si="3114"/>
        <v>0</v>
      </c>
      <c r="BP598" s="65">
        <f t="shared" si="3115"/>
        <v>0</v>
      </c>
      <c r="BQ598" s="65">
        <f t="shared" si="3116"/>
        <v>0</v>
      </c>
      <c r="BR598" s="65">
        <f t="shared" si="3117"/>
        <v>0</v>
      </c>
      <c r="BS598" s="65">
        <f t="shared" si="3118"/>
        <v>0</v>
      </c>
      <c r="BT598" s="65">
        <f t="shared" si="3119"/>
        <v>0</v>
      </c>
      <c r="BU598" s="65">
        <f t="shared" si="3120"/>
        <v>0</v>
      </c>
      <c r="BV598" s="65">
        <f t="shared" si="3121"/>
        <v>0</v>
      </c>
      <c r="BW598" s="65">
        <f t="shared" si="3122"/>
        <v>0</v>
      </c>
      <c r="BX598" s="6"/>
      <c r="BY598" s="6"/>
      <c r="BZ598" s="6"/>
      <c r="CA598" s="6"/>
      <c r="CB598" s="6"/>
      <c r="CC598" s="6"/>
      <c r="CD598" s="6"/>
      <c r="CE598" s="6"/>
      <c r="CF598" s="6"/>
      <c r="CG598" s="6"/>
    </row>
    <row r="599" spans="1:85" ht="15.75" customHeight="1">
      <c r="A599" s="68"/>
      <c r="B599" s="103"/>
      <c r="C599" s="68" t="s">
        <v>314</v>
      </c>
      <c r="D599" s="193" t="s">
        <v>709</v>
      </c>
      <c r="E599" s="56">
        <v>10000</v>
      </c>
      <c r="F599" s="99">
        <v>0</v>
      </c>
      <c r="G599" s="58">
        <f t="shared" si="3106"/>
        <v>10000</v>
      </c>
      <c r="H599" s="99">
        <v>0</v>
      </c>
      <c r="I599" s="59">
        <f t="shared" si="3007"/>
        <v>0</v>
      </c>
      <c r="J599" s="59">
        <f t="shared" si="2705"/>
        <v>0</v>
      </c>
      <c r="K599" s="74">
        <v>0</v>
      </c>
      <c r="L599" s="74">
        <v>0</v>
      </c>
      <c r="M599" s="74">
        <v>0</v>
      </c>
      <c r="N599" s="74">
        <v>0</v>
      </c>
      <c r="O599" s="61">
        <f t="shared" ref="O599:Q599" si="3126">AA599+AD599+AG599+AJ599+AM599+AP599+AS599+AV599+AY599+BB599+BE599+BH599</f>
        <v>0</v>
      </c>
      <c r="P599" s="61">
        <f t="shared" si="3126"/>
        <v>0</v>
      </c>
      <c r="Q599" s="61">
        <f t="shared" si="3126"/>
        <v>0</v>
      </c>
      <c r="R599" s="61">
        <f t="shared" ref="R599:T599" si="3127">IF(BK599=0,SUM(AA599+AD599+AG599+AJ599+AM599+AP599+AS599+AV599+AY599+BB599+BE599+BH599),BK599)</f>
        <v>0</v>
      </c>
      <c r="S599" s="61">
        <f t="shared" si="3127"/>
        <v>0</v>
      </c>
      <c r="T599" s="61">
        <f t="shared" si="3127"/>
        <v>0</v>
      </c>
      <c r="U599" s="63">
        <f t="shared" si="3109"/>
        <v>0</v>
      </c>
      <c r="V599" s="63">
        <f t="shared" si="3110"/>
        <v>0</v>
      </c>
      <c r="W599" s="63">
        <f t="shared" si="3111"/>
        <v>0</v>
      </c>
      <c r="X599" s="64">
        <f t="shared" ref="X599:Y599" si="3128">IF(O599&gt;0,O599/K599,0)</f>
        <v>0</v>
      </c>
      <c r="Y599" s="64">
        <f t="shared" si="3128"/>
        <v>0</v>
      </c>
      <c r="Z599" s="64">
        <f t="shared" si="2708"/>
        <v>0</v>
      </c>
      <c r="AA599" s="65"/>
      <c r="AB599" s="65"/>
      <c r="AC599" s="65"/>
      <c r="AD599" s="65"/>
      <c r="AE599" s="66"/>
      <c r="AF599" s="66"/>
      <c r="AG599" s="66"/>
      <c r="AH599" s="66"/>
      <c r="AI599" s="65"/>
      <c r="AJ599" s="65"/>
      <c r="AK599" s="65"/>
      <c r="AL599" s="65"/>
      <c r="AM599" s="65"/>
      <c r="AN599" s="65"/>
      <c r="AO599" s="65"/>
      <c r="AP599" s="65"/>
      <c r="AQ599" s="65"/>
      <c r="AR599" s="65"/>
      <c r="AS599" s="65"/>
      <c r="AT599" s="65"/>
      <c r="AU599" s="65"/>
      <c r="AV599" s="65"/>
      <c r="AW599" s="65"/>
      <c r="AX599" s="65"/>
      <c r="AY599" s="65"/>
      <c r="AZ599" s="65"/>
      <c r="BA599" s="65"/>
      <c r="BB599" s="65"/>
      <c r="BC599" s="65"/>
      <c r="BD599" s="65"/>
      <c r="BE599" s="65"/>
      <c r="BF599" s="65"/>
      <c r="BG599" s="65"/>
      <c r="BH599" s="65"/>
      <c r="BI599" s="65"/>
      <c r="BJ599" s="65"/>
      <c r="BK599" s="65">
        <v>0</v>
      </c>
      <c r="BL599" s="65">
        <v>0</v>
      </c>
      <c r="BM599" s="65">
        <v>0</v>
      </c>
      <c r="BN599" s="65">
        <f t="shared" si="3113"/>
        <v>0</v>
      </c>
      <c r="BO599" s="67">
        <f t="shared" si="3114"/>
        <v>0</v>
      </c>
      <c r="BP599" s="65">
        <f t="shared" si="3115"/>
        <v>0</v>
      </c>
      <c r="BQ599" s="65">
        <f t="shared" si="3116"/>
        <v>0</v>
      </c>
      <c r="BR599" s="65">
        <f t="shared" si="3117"/>
        <v>0</v>
      </c>
      <c r="BS599" s="65">
        <f t="shared" si="3118"/>
        <v>0</v>
      </c>
      <c r="BT599" s="65">
        <f t="shared" si="3119"/>
        <v>0</v>
      </c>
      <c r="BU599" s="65">
        <f t="shared" si="3120"/>
        <v>0</v>
      </c>
      <c r="BV599" s="65">
        <f t="shared" si="3121"/>
        <v>0</v>
      </c>
      <c r="BW599" s="65">
        <f t="shared" si="3122"/>
        <v>0</v>
      </c>
      <c r="BX599" s="6"/>
      <c r="BY599" s="6"/>
      <c r="BZ599" s="6"/>
      <c r="CA599" s="6"/>
      <c r="CB599" s="6"/>
      <c r="CC599" s="6"/>
      <c r="CD599" s="6"/>
      <c r="CE599" s="6"/>
      <c r="CF599" s="6"/>
      <c r="CG599" s="6"/>
    </row>
    <row r="600" spans="1:85" ht="15.75" customHeight="1">
      <c r="A600" s="68"/>
      <c r="B600" s="103"/>
      <c r="C600" s="68" t="s">
        <v>408</v>
      </c>
      <c r="D600" s="193" t="s">
        <v>710</v>
      </c>
      <c r="E600" s="56">
        <v>10000</v>
      </c>
      <c r="F600" s="99">
        <v>0</v>
      </c>
      <c r="G600" s="58">
        <f t="shared" si="3106"/>
        <v>10000</v>
      </c>
      <c r="H600" s="99">
        <v>0</v>
      </c>
      <c r="I600" s="59">
        <f t="shared" si="3007"/>
        <v>0</v>
      </c>
      <c r="J600" s="59">
        <f t="shared" si="2705"/>
        <v>0</v>
      </c>
      <c r="K600" s="74">
        <v>0</v>
      </c>
      <c r="L600" s="74">
        <v>0</v>
      </c>
      <c r="M600" s="74">
        <v>0</v>
      </c>
      <c r="N600" s="74">
        <v>0</v>
      </c>
      <c r="O600" s="61">
        <f t="shared" ref="O600:Q600" si="3129">AA600+AD600+AG600+AJ600+AM600+AP600+AS600+AV600+AY600+BB600+BE600+BH600</f>
        <v>0</v>
      </c>
      <c r="P600" s="61">
        <f t="shared" si="3129"/>
        <v>0</v>
      </c>
      <c r="Q600" s="61">
        <f t="shared" si="3129"/>
        <v>0</v>
      </c>
      <c r="R600" s="61">
        <f t="shared" ref="R600:T600" si="3130">IF(BK600=0,SUM(AA600+AD600+AG600+AJ600+AM600+AP600+AS600+AV600+AY600+BB600+BE600+BH600),BK600)</f>
        <v>0</v>
      </c>
      <c r="S600" s="61">
        <f t="shared" si="3130"/>
        <v>0</v>
      </c>
      <c r="T600" s="61">
        <f t="shared" si="3130"/>
        <v>0</v>
      </c>
      <c r="U600" s="63">
        <f t="shared" si="3109"/>
        <v>0</v>
      </c>
      <c r="V600" s="63">
        <f t="shared" si="3110"/>
        <v>0</v>
      </c>
      <c r="W600" s="63">
        <f t="shared" si="3111"/>
        <v>0</v>
      </c>
      <c r="X600" s="64">
        <f t="shared" ref="X600:Y600" si="3131">IF(O600&gt;0,O600/K600,0)</f>
        <v>0</v>
      </c>
      <c r="Y600" s="64">
        <f t="shared" si="3131"/>
        <v>0</v>
      </c>
      <c r="Z600" s="64">
        <f t="shared" si="2708"/>
        <v>0</v>
      </c>
      <c r="AA600" s="65"/>
      <c r="AB600" s="65"/>
      <c r="AC600" s="65"/>
      <c r="AD600" s="65"/>
      <c r="AE600" s="66"/>
      <c r="AF600" s="66"/>
      <c r="AG600" s="66"/>
      <c r="AH600" s="66"/>
      <c r="AI600" s="65"/>
      <c r="AJ600" s="65"/>
      <c r="AK600" s="65"/>
      <c r="AL600" s="65"/>
      <c r="AM600" s="65"/>
      <c r="AN600" s="65"/>
      <c r="AO600" s="65"/>
      <c r="AP600" s="65"/>
      <c r="AQ600" s="65"/>
      <c r="AR600" s="65"/>
      <c r="AS600" s="65"/>
      <c r="AT600" s="65"/>
      <c r="AU600" s="65"/>
      <c r="AV600" s="65"/>
      <c r="AW600" s="65"/>
      <c r="AX600" s="65"/>
      <c r="AY600" s="65"/>
      <c r="AZ600" s="65"/>
      <c r="BA600" s="65"/>
      <c r="BB600" s="65"/>
      <c r="BC600" s="65"/>
      <c r="BD600" s="65"/>
      <c r="BE600" s="65"/>
      <c r="BF600" s="65"/>
      <c r="BG600" s="65"/>
      <c r="BH600" s="65"/>
      <c r="BI600" s="65"/>
      <c r="BJ600" s="65"/>
      <c r="BK600" s="65">
        <v>0</v>
      </c>
      <c r="BL600" s="65">
        <v>0</v>
      </c>
      <c r="BM600" s="65">
        <v>0</v>
      </c>
      <c r="BN600" s="65">
        <f t="shared" si="3113"/>
        <v>0</v>
      </c>
      <c r="BO600" s="67">
        <f t="shared" si="3114"/>
        <v>0</v>
      </c>
      <c r="BP600" s="65">
        <f t="shared" si="3115"/>
        <v>0</v>
      </c>
      <c r="BQ600" s="65">
        <f t="shared" si="3116"/>
        <v>0</v>
      </c>
      <c r="BR600" s="65">
        <f t="shared" si="3117"/>
        <v>0</v>
      </c>
      <c r="BS600" s="65">
        <f t="shared" si="3118"/>
        <v>0</v>
      </c>
      <c r="BT600" s="65">
        <f t="shared" si="3119"/>
        <v>0</v>
      </c>
      <c r="BU600" s="65">
        <f t="shared" si="3120"/>
        <v>0</v>
      </c>
      <c r="BV600" s="65">
        <f t="shared" si="3121"/>
        <v>0</v>
      </c>
      <c r="BW600" s="65">
        <f t="shared" si="3122"/>
        <v>0</v>
      </c>
      <c r="BX600" s="6"/>
      <c r="BY600" s="6"/>
      <c r="BZ600" s="6"/>
      <c r="CA600" s="6"/>
      <c r="CB600" s="6"/>
      <c r="CC600" s="6"/>
      <c r="CD600" s="6"/>
      <c r="CE600" s="6"/>
      <c r="CF600" s="6"/>
      <c r="CG600" s="6"/>
    </row>
    <row r="601" spans="1:85" ht="15.75" customHeight="1">
      <c r="A601" s="71"/>
      <c r="B601" s="72"/>
      <c r="C601" s="71" t="s">
        <v>208</v>
      </c>
      <c r="D601" s="240" t="s">
        <v>711</v>
      </c>
      <c r="E601" s="56">
        <v>10000</v>
      </c>
      <c r="F601" s="99">
        <v>0</v>
      </c>
      <c r="G601" s="58">
        <f t="shared" si="3106"/>
        <v>10000</v>
      </c>
      <c r="H601" s="99">
        <v>0</v>
      </c>
      <c r="I601" s="59">
        <f t="shared" si="3007"/>
        <v>0</v>
      </c>
      <c r="J601" s="59">
        <f t="shared" si="2705"/>
        <v>0</v>
      </c>
      <c r="K601" s="74">
        <v>0</v>
      </c>
      <c r="L601" s="74">
        <v>0</v>
      </c>
      <c r="M601" s="74">
        <v>0</v>
      </c>
      <c r="N601" s="74">
        <v>0</v>
      </c>
      <c r="O601" s="61">
        <f t="shared" ref="O601:Q601" si="3132">AA601+AD601+AG601+AJ601+AM601+AP601+AS601+AV601+AY601+BB601+BE601+BH601</f>
        <v>0</v>
      </c>
      <c r="P601" s="61">
        <f t="shared" si="3132"/>
        <v>0</v>
      </c>
      <c r="Q601" s="61">
        <f t="shared" si="3132"/>
        <v>0</v>
      </c>
      <c r="R601" s="61">
        <f t="shared" ref="R601:T601" si="3133">IF(BK601=0,SUM(AA601+AD601+AG601+AJ601+AM601+AP601+AS601+AV601+AY601+BB601+BE601+BH601),BK601)</f>
        <v>0</v>
      </c>
      <c r="S601" s="61">
        <f t="shared" si="3133"/>
        <v>0</v>
      </c>
      <c r="T601" s="61">
        <f t="shared" si="3133"/>
        <v>0</v>
      </c>
      <c r="U601" s="63">
        <f t="shared" si="3109"/>
        <v>0</v>
      </c>
      <c r="V601" s="63">
        <f t="shared" si="3110"/>
        <v>0</v>
      </c>
      <c r="W601" s="63">
        <f t="shared" si="3111"/>
        <v>0</v>
      </c>
      <c r="X601" s="64">
        <f t="shared" ref="X601:Y601" si="3134">IF(O601&gt;0,O601/K601,0)</f>
        <v>0</v>
      </c>
      <c r="Y601" s="64">
        <f t="shared" si="3134"/>
        <v>0</v>
      </c>
      <c r="Z601" s="64">
        <f t="shared" si="2708"/>
        <v>0</v>
      </c>
      <c r="AA601" s="65"/>
      <c r="AB601" s="65"/>
      <c r="AC601" s="65"/>
      <c r="AD601" s="65"/>
      <c r="AE601" s="66"/>
      <c r="AF601" s="66"/>
      <c r="AG601" s="66"/>
      <c r="AH601" s="66"/>
      <c r="AI601" s="65"/>
      <c r="AJ601" s="65"/>
      <c r="AK601" s="65"/>
      <c r="AL601" s="65"/>
      <c r="AM601" s="65"/>
      <c r="AN601" s="65"/>
      <c r="AO601" s="65"/>
      <c r="AP601" s="65"/>
      <c r="AQ601" s="65"/>
      <c r="AR601" s="65"/>
      <c r="AS601" s="65"/>
      <c r="AT601" s="65"/>
      <c r="AU601" s="65"/>
      <c r="AV601" s="65"/>
      <c r="AW601" s="65"/>
      <c r="AX601" s="65"/>
      <c r="AY601" s="65"/>
      <c r="AZ601" s="65"/>
      <c r="BA601" s="65"/>
      <c r="BB601" s="65"/>
      <c r="BC601" s="65"/>
      <c r="BD601" s="65"/>
      <c r="BE601" s="65"/>
      <c r="BF601" s="65"/>
      <c r="BG601" s="65"/>
      <c r="BH601" s="65"/>
      <c r="BI601" s="65"/>
      <c r="BJ601" s="65"/>
      <c r="BK601" s="65">
        <v>0</v>
      </c>
      <c r="BL601" s="65">
        <v>0</v>
      </c>
      <c r="BM601" s="65">
        <v>0</v>
      </c>
      <c r="BN601" s="65">
        <f t="shared" si="3113"/>
        <v>0</v>
      </c>
      <c r="BO601" s="67">
        <f t="shared" si="3114"/>
        <v>0</v>
      </c>
      <c r="BP601" s="65">
        <f t="shared" si="3115"/>
        <v>0</v>
      </c>
      <c r="BQ601" s="65">
        <f t="shared" si="3116"/>
        <v>0</v>
      </c>
      <c r="BR601" s="65">
        <f t="shared" si="3117"/>
        <v>0</v>
      </c>
      <c r="BS601" s="65">
        <f t="shared" si="3118"/>
        <v>0</v>
      </c>
      <c r="BT601" s="65">
        <f t="shared" si="3119"/>
        <v>0</v>
      </c>
      <c r="BU601" s="65">
        <f t="shared" si="3120"/>
        <v>0</v>
      </c>
      <c r="BV601" s="65">
        <f t="shared" si="3121"/>
        <v>0</v>
      </c>
      <c r="BW601" s="65">
        <f t="shared" si="3122"/>
        <v>0</v>
      </c>
      <c r="BX601" s="6"/>
      <c r="BY601" s="6"/>
      <c r="BZ601" s="6"/>
      <c r="CA601" s="6"/>
      <c r="CB601" s="6"/>
      <c r="CC601" s="6"/>
      <c r="CD601" s="6"/>
      <c r="CE601" s="6"/>
      <c r="CF601" s="6"/>
      <c r="CG601" s="6"/>
    </row>
    <row r="602" spans="1:85" ht="15.75" customHeight="1">
      <c r="A602" s="71"/>
      <c r="B602" s="72"/>
      <c r="C602" s="71" t="s">
        <v>208</v>
      </c>
      <c r="D602" s="240" t="s">
        <v>712</v>
      </c>
      <c r="E602" s="56">
        <v>1000</v>
      </c>
      <c r="F602" s="99">
        <v>0</v>
      </c>
      <c r="G602" s="58">
        <f t="shared" si="3106"/>
        <v>1000</v>
      </c>
      <c r="H602" s="99">
        <v>0</v>
      </c>
      <c r="I602" s="59">
        <f t="shared" si="3007"/>
        <v>0</v>
      </c>
      <c r="J602" s="59">
        <f t="shared" si="2705"/>
        <v>0</v>
      </c>
      <c r="K602" s="74">
        <v>0</v>
      </c>
      <c r="L602" s="74">
        <v>0</v>
      </c>
      <c r="M602" s="74">
        <v>0</v>
      </c>
      <c r="N602" s="74">
        <v>0</v>
      </c>
      <c r="O602" s="61">
        <f t="shared" ref="O602:Q602" si="3135">AA602+AD602+AG602+AJ602+AM602+AP602+AS602+AV602+AY602+BB602+BE602+BH602</f>
        <v>0</v>
      </c>
      <c r="P602" s="61">
        <f t="shared" si="3135"/>
        <v>0</v>
      </c>
      <c r="Q602" s="61">
        <f t="shared" si="3135"/>
        <v>0</v>
      </c>
      <c r="R602" s="61">
        <f t="shared" ref="R602:T602" si="3136">IF(BK602=0,SUM(AA602+AD602+AG602+AJ602+AM602+AP602+AS602+AV602+AY602+BB602+BE602+BH602),BK602)</f>
        <v>0</v>
      </c>
      <c r="S602" s="61">
        <f t="shared" si="3136"/>
        <v>0</v>
      </c>
      <c r="T602" s="61">
        <f t="shared" si="3136"/>
        <v>0</v>
      </c>
      <c r="U602" s="63">
        <f t="shared" si="3109"/>
        <v>0</v>
      </c>
      <c r="V602" s="63">
        <f t="shared" si="3110"/>
        <v>0</v>
      </c>
      <c r="W602" s="63">
        <f t="shared" si="3111"/>
        <v>0</v>
      </c>
      <c r="X602" s="64">
        <f t="shared" ref="X602:Y602" si="3137">IF(O602&gt;0,O602/K602,0)</f>
        <v>0</v>
      </c>
      <c r="Y602" s="64">
        <f t="shared" si="3137"/>
        <v>0</v>
      </c>
      <c r="Z602" s="64">
        <f t="shared" si="2708"/>
        <v>0</v>
      </c>
      <c r="AA602" s="65"/>
      <c r="AB602" s="65"/>
      <c r="AC602" s="65"/>
      <c r="AD602" s="65"/>
      <c r="AE602" s="66"/>
      <c r="AF602" s="66"/>
      <c r="AG602" s="66"/>
      <c r="AH602" s="66"/>
      <c r="AI602" s="65"/>
      <c r="AJ602" s="65"/>
      <c r="AK602" s="65"/>
      <c r="AL602" s="65"/>
      <c r="AM602" s="65"/>
      <c r="AN602" s="65"/>
      <c r="AO602" s="65"/>
      <c r="AP602" s="65"/>
      <c r="AQ602" s="65"/>
      <c r="AR602" s="65"/>
      <c r="AS602" s="65"/>
      <c r="AT602" s="65"/>
      <c r="AU602" s="65"/>
      <c r="AV602" s="65"/>
      <c r="AW602" s="65"/>
      <c r="AX602" s="65"/>
      <c r="AY602" s="65"/>
      <c r="AZ602" s="65"/>
      <c r="BA602" s="65"/>
      <c r="BB602" s="65"/>
      <c r="BC602" s="65"/>
      <c r="BD602" s="65"/>
      <c r="BE602" s="65"/>
      <c r="BF602" s="65"/>
      <c r="BG602" s="65"/>
      <c r="BH602" s="65"/>
      <c r="BI602" s="65"/>
      <c r="BJ602" s="65"/>
      <c r="BK602" s="65">
        <v>0</v>
      </c>
      <c r="BL602" s="65">
        <v>0</v>
      </c>
      <c r="BM602" s="65">
        <v>0</v>
      </c>
      <c r="BN602" s="65">
        <f t="shared" si="3113"/>
        <v>0</v>
      </c>
      <c r="BO602" s="67">
        <f t="shared" si="3114"/>
        <v>0</v>
      </c>
      <c r="BP602" s="65">
        <f t="shared" si="3115"/>
        <v>0</v>
      </c>
      <c r="BQ602" s="65">
        <f t="shared" si="3116"/>
        <v>0</v>
      </c>
      <c r="BR602" s="65">
        <f t="shared" si="3117"/>
        <v>0</v>
      </c>
      <c r="BS602" s="65">
        <f t="shared" si="3118"/>
        <v>0</v>
      </c>
      <c r="BT602" s="65">
        <f t="shared" si="3119"/>
        <v>0</v>
      </c>
      <c r="BU602" s="65">
        <f t="shared" si="3120"/>
        <v>0</v>
      </c>
      <c r="BV602" s="65">
        <f t="shared" si="3121"/>
        <v>0</v>
      </c>
      <c r="BW602" s="65">
        <f t="shared" si="3122"/>
        <v>0</v>
      </c>
      <c r="BX602" s="6"/>
      <c r="BY602" s="6"/>
      <c r="BZ602" s="6"/>
      <c r="CA602" s="6"/>
      <c r="CB602" s="6"/>
      <c r="CC602" s="6"/>
      <c r="CD602" s="6"/>
      <c r="CE602" s="6"/>
      <c r="CF602" s="6"/>
      <c r="CG602" s="6"/>
    </row>
    <row r="603" spans="1:85" ht="15.75" customHeight="1">
      <c r="A603" s="68"/>
      <c r="B603" s="103"/>
      <c r="C603" s="68" t="s">
        <v>456</v>
      </c>
      <c r="D603" s="105" t="s">
        <v>713</v>
      </c>
      <c r="E603" s="56">
        <v>10000</v>
      </c>
      <c r="F603" s="99">
        <v>0</v>
      </c>
      <c r="G603" s="58">
        <f t="shared" si="3106"/>
        <v>10000</v>
      </c>
      <c r="H603" s="57">
        <v>0</v>
      </c>
      <c r="I603" s="59">
        <f t="shared" si="3007"/>
        <v>0</v>
      </c>
      <c r="J603" s="59">
        <f t="shared" si="2705"/>
        <v>0</v>
      </c>
      <c r="K603" s="74">
        <v>0</v>
      </c>
      <c r="L603" s="74">
        <v>0</v>
      </c>
      <c r="M603" s="74">
        <v>0</v>
      </c>
      <c r="N603" s="74">
        <v>0</v>
      </c>
      <c r="O603" s="61">
        <f t="shared" ref="O603:Q603" si="3138">AA603+AD603+AG603+AJ603+AM603+AP603+AS603+AV603+AY603+BB603+BE603+BH603</f>
        <v>0</v>
      </c>
      <c r="P603" s="61">
        <f t="shared" si="3138"/>
        <v>0</v>
      </c>
      <c r="Q603" s="61">
        <f t="shared" si="3138"/>
        <v>0</v>
      </c>
      <c r="R603" s="61">
        <f t="shared" ref="R603:T603" si="3139">IF(BK603=0,SUM(AA603+AD603+AG603+AJ603+AM603+AP603+AS603+AV603+AY603+BB603+BE603+BH603),BK603)</f>
        <v>0</v>
      </c>
      <c r="S603" s="61">
        <f t="shared" si="3139"/>
        <v>0</v>
      </c>
      <c r="T603" s="61">
        <f t="shared" si="3139"/>
        <v>0</v>
      </c>
      <c r="U603" s="63">
        <f t="shared" si="3109"/>
        <v>0</v>
      </c>
      <c r="V603" s="63">
        <f t="shared" si="3110"/>
        <v>0</v>
      </c>
      <c r="W603" s="63">
        <f t="shared" si="3111"/>
        <v>0</v>
      </c>
      <c r="X603" s="64">
        <f t="shared" ref="X603:Y603" si="3140">IF(O603&gt;0,O603/K603,0)</f>
        <v>0</v>
      </c>
      <c r="Y603" s="64">
        <f t="shared" si="3140"/>
        <v>0</v>
      </c>
      <c r="Z603" s="64">
        <f t="shared" si="2708"/>
        <v>0</v>
      </c>
      <c r="AA603" s="65"/>
      <c r="AB603" s="65"/>
      <c r="AC603" s="65"/>
      <c r="AD603" s="65"/>
      <c r="AE603" s="66"/>
      <c r="AF603" s="66"/>
      <c r="AG603" s="66"/>
      <c r="AH603" s="66"/>
      <c r="AI603" s="65"/>
      <c r="AJ603" s="65"/>
      <c r="AK603" s="65"/>
      <c r="AL603" s="65"/>
      <c r="AM603" s="65"/>
      <c r="AN603" s="65"/>
      <c r="AO603" s="65"/>
      <c r="AP603" s="65"/>
      <c r="AQ603" s="65"/>
      <c r="AR603" s="65"/>
      <c r="AS603" s="65"/>
      <c r="AT603" s="65"/>
      <c r="AU603" s="65"/>
      <c r="AV603" s="65"/>
      <c r="AW603" s="65"/>
      <c r="AX603" s="65"/>
      <c r="AY603" s="65"/>
      <c r="AZ603" s="65"/>
      <c r="BA603" s="65"/>
      <c r="BB603" s="65"/>
      <c r="BC603" s="65"/>
      <c r="BD603" s="65"/>
      <c r="BE603" s="65"/>
      <c r="BF603" s="65"/>
      <c r="BG603" s="65"/>
      <c r="BH603" s="65"/>
      <c r="BI603" s="65"/>
      <c r="BJ603" s="65"/>
      <c r="BK603" s="65">
        <v>0</v>
      </c>
      <c r="BL603" s="65">
        <v>0</v>
      </c>
      <c r="BM603" s="65">
        <v>0</v>
      </c>
      <c r="BN603" s="65">
        <f t="shared" si="3113"/>
        <v>0</v>
      </c>
      <c r="BO603" s="67">
        <f t="shared" si="3114"/>
        <v>0</v>
      </c>
      <c r="BP603" s="65">
        <f t="shared" si="3115"/>
        <v>0</v>
      </c>
      <c r="BQ603" s="65">
        <f t="shared" si="3116"/>
        <v>0</v>
      </c>
      <c r="BR603" s="65">
        <f t="shared" si="3117"/>
        <v>0</v>
      </c>
      <c r="BS603" s="65">
        <f t="shared" si="3118"/>
        <v>0</v>
      </c>
      <c r="BT603" s="65">
        <f t="shared" si="3119"/>
        <v>0</v>
      </c>
      <c r="BU603" s="65">
        <f t="shared" si="3120"/>
        <v>0</v>
      </c>
      <c r="BV603" s="65">
        <f t="shared" si="3121"/>
        <v>0</v>
      </c>
      <c r="BW603" s="65">
        <f t="shared" si="3122"/>
        <v>0</v>
      </c>
      <c r="BX603" s="6"/>
      <c r="BY603" s="6"/>
      <c r="BZ603" s="6"/>
      <c r="CA603" s="6"/>
      <c r="CB603" s="6"/>
      <c r="CC603" s="6"/>
      <c r="CD603" s="6"/>
      <c r="CE603" s="6"/>
      <c r="CF603" s="6"/>
      <c r="CG603" s="6"/>
    </row>
    <row r="604" spans="1:85" ht="15.75" customHeight="1">
      <c r="A604" s="68"/>
      <c r="B604" s="103"/>
      <c r="C604" s="68" t="s">
        <v>456</v>
      </c>
      <c r="D604" s="105" t="s">
        <v>714</v>
      </c>
      <c r="E604" s="56">
        <v>10000</v>
      </c>
      <c r="F604" s="99">
        <v>0</v>
      </c>
      <c r="G604" s="58">
        <f t="shared" si="3106"/>
        <v>10000</v>
      </c>
      <c r="H604" s="57">
        <v>0</v>
      </c>
      <c r="I604" s="59">
        <f t="shared" si="3007"/>
        <v>0</v>
      </c>
      <c r="J604" s="59">
        <f t="shared" si="2705"/>
        <v>0</v>
      </c>
      <c r="K604" s="74">
        <v>0</v>
      </c>
      <c r="L604" s="74">
        <v>0</v>
      </c>
      <c r="M604" s="74">
        <v>0</v>
      </c>
      <c r="N604" s="74">
        <v>0</v>
      </c>
      <c r="O604" s="61">
        <f t="shared" ref="O604:Q604" si="3141">AA604+AD604+AG604+AJ604+AM604+AP604+AS604+AV604+AY604+BB604+BE604+BH604</f>
        <v>0</v>
      </c>
      <c r="P604" s="61">
        <f t="shared" si="3141"/>
        <v>0</v>
      </c>
      <c r="Q604" s="61">
        <f t="shared" si="3141"/>
        <v>0</v>
      </c>
      <c r="R604" s="61">
        <f t="shared" ref="R604:T604" si="3142">IF(BK604=0,SUM(AA604+AD604+AG604+AJ604+AM604+AP604+AS604+AV604+AY604+BB604+BE604+BH604),BK604)</f>
        <v>0</v>
      </c>
      <c r="S604" s="61">
        <f t="shared" si="3142"/>
        <v>0</v>
      </c>
      <c r="T604" s="61">
        <f t="shared" si="3142"/>
        <v>0</v>
      </c>
      <c r="U604" s="63">
        <f t="shared" si="3109"/>
        <v>0</v>
      </c>
      <c r="V604" s="63">
        <f t="shared" si="3110"/>
        <v>0</v>
      </c>
      <c r="W604" s="63">
        <f t="shared" si="3111"/>
        <v>0</v>
      </c>
      <c r="X604" s="64">
        <f t="shared" ref="X604:Y604" si="3143">IF(O604&gt;0,O604/K604,0)</f>
        <v>0</v>
      </c>
      <c r="Y604" s="64">
        <f t="shared" si="3143"/>
        <v>0</v>
      </c>
      <c r="Z604" s="64">
        <f t="shared" si="2708"/>
        <v>0</v>
      </c>
      <c r="AA604" s="65"/>
      <c r="AB604" s="65"/>
      <c r="AC604" s="65"/>
      <c r="AD604" s="65"/>
      <c r="AE604" s="66"/>
      <c r="AF604" s="66"/>
      <c r="AG604" s="66"/>
      <c r="AH604" s="66"/>
      <c r="AI604" s="65"/>
      <c r="AJ604" s="65"/>
      <c r="AK604" s="65"/>
      <c r="AL604" s="65"/>
      <c r="AM604" s="65"/>
      <c r="AN604" s="65"/>
      <c r="AO604" s="65"/>
      <c r="AP604" s="65"/>
      <c r="AQ604" s="65"/>
      <c r="AR604" s="65"/>
      <c r="AS604" s="65"/>
      <c r="AT604" s="65"/>
      <c r="AU604" s="65"/>
      <c r="AV604" s="65"/>
      <c r="AW604" s="65"/>
      <c r="AX604" s="65"/>
      <c r="AY604" s="65"/>
      <c r="AZ604" s="65"/>
      <c r="BA604" s="65"/>
      <c r="BB604" s="65"/>
      <c r="BC604" s="65"/>
      <c r="BD604" s="65"/>
      <c r="BE604" s="65"/>
      <c r="BF604" s="65"/>
      <c r="BG604" s="65"/>
      <c r="BH604" s="65"/>
      <c r="BI604" s="65"/>
      <c r="BJ604" s="65"/>
      <c r="BK604" s="65">
        <v>0</v>
      </c>
      <c r="BL604" s="65">
        <v>0</v>
      </c>
      <c r="BM604" s="65">
        <v>0</v>
      </c>
      <c r="BN604" s="65">
        <f t="shared" si="3113"/>
        <v>0</v>
      </c>
      <c r="BO604" s="67">
        <f t="shared" si="3114"/>
        <v>0</v>
      </c>
      <c r="BP604" s="65">
        <f t="shared" si="3115"/>
        <v>0</v>
      </c>
      <c r="BQ604" s="65">
        <f t="shared" si="3116"/>
        <v>0</v>
      </c>
      <c r="BR604" s="65">
        <f t="shared" si="3117"/>
        <v>0</v>
      </c>
      <c r="BS604" s="65">
        <f t="shared" si="3118"/>
        <v>0</v>
      </c>
      <c r="BT604" s="65">
        <f t="shared" si="3119"/>
        <v>0</v>
      </c>
      <c r="BU604" s="65">
        <f t="shared" si="3120"/>
        <v>0</v>
      </c>
      <c r="BV604" s="65">
        <f t="shared" si="3121"/>
        <v>0</v>
      </c>
      <c r="BW604" s="65">
        <f t="shared" si="3122"/>
        <v>0</v>
      </c>
      <c r="BX604" s="6"/>
      <c r="BY604" s="6"/>
      <c r="BZ604" s="6"/>
      <c r="CA604" s="6"/>
      <c r="CB604" s="6"/>
      <c r="CC604" s="6"/>
      <c r="CD604" s="6"/>
      <c r="CE604" s="6"/>
      <c r="CF604" s="6"/>
      <c r="CG604" s="6"/>
    </row>
    <row r="605" spans="1:85" ht="15.75" customHeight="1">
      <c r="A605" s="325"/>
      <c r="B605" s="326"/>
      <c r="C605" s="327"/>
      <c r="D605" s="357" t="s">
        <v>715</v>
      </c>
      <c r="E605" s="329">
        <f t="shared" ref="E605:H605" si="3144">E606+E609+E615+E618</f>
        <v>57000</v>
      </c>
      <c r="F605" s="329">
        <f t="shared" si="3144"/>
        <v>0</v>
      </c>
      <c r="G605" s="329">
        <f t="shared" si="3144"/>
        <v>57000</v>
      </c>
      <c r="H605" s="329">
        <f t="shared" si="3144"/>
        <v>0</v>
      </c>
      <c r="I605" s="330">
        <f t="shared" si="3007"/>
        <v>0.21884210526315789</v>
      </c>
      <c r="J605" s="330">
        <f t="shared" si="2705"/>
        <v>0.17456315789473684</v>
      </c>
      <c r="K605" s="329">
        <f t="shared" ref="K605:W605" si="3145">K606+K609+K615+K618</f>
        <v>12474</v>
      </c>
      <c r="L605" s="329">
        <f t="shared" si="3145"/>
        <v>0</v>
      </c>
      <c r="M605" s="329">
        <f t="shared" si="3145"/>
        <v>0</v>
      </c>
      <c r="N605" s="329">
        <f t="shared" si="3145"/>
        <v>13936.6</v>
      </c>
      <c r="O605" s="329">
        <f t="shared" si="3145"/>
        <v>9950.1</v>
      </c>
      <c r="P605" s="329">
        <f t="shared" si="3145"/>
        <v>0</v>
      </c>
      <c r="Q605" s="329">
        <f t="shared" si="3145"/>
        <v>0</v>
      </c>
      <c r="R605" s="329">
        <f t="shared" si="3145"/>
        <v>9950.1</v>
      </c>
      <c r="S605" s="329">
        <f t="shared" si="3145"/>
        <v>0</v>
      </c>
      <c r="T605" s="329">
        <f t="shared" si="3145"/>
        <v>0</v>
      </c>
      <c r="U605" s="329">
        <f t="shared" si="3145"/>
        <v>2523.8999999999996</v>
      </c>
      <c r="V605" s="329">
        <f t="shared" si="3145"/>
        <v>0</v>
      </c>
      <c r="W605" s="329">
        <f t="shared" si="3145"/>
        <v>13936.6</v>
      </c>
      <c r="X605" s="339">
        <f t="shared" ref="X605:Y605" si="3146">IF(O605&gt;0,O605/K605,0)</f>
        <v>0.79766714766714775</v>
      </c>
      <c r="Y605" s="339">
        <f t="shared" si="3146"/>
        <v>0</v>
      </c>
      <c r="Z605" s="339">
        <f t="shared" si="2708"/>
        <v>0</v>
      </c>
      <c r="AA605" s="329">
        <f t="shared" ref="AA605:BW605" si="3147">AA606+AA609+AA615+AA618</f>
        <v>0</v>
      </c>
      <c r="AB605" s="329">
        <f t="shared" si="3147"/>
        <v>0</v>
      </c>
      <c r="AC605" s="329">
        <f t="shared" si="3147"/>
        <v>0</v>
      </c>
      <c r="AD605" s="329">
        <f t="shared" si="3147"/>
        <v>0</v>
      </c>
      <c r="AE605" s="329">
        <f t="shared" si="3147"/>
        <v>0</v>
      </c>
      <c r="AF605" s="329">
        <f t="shared" si="3147"/>
        <v>0</v>
      </c>
      <c r="AG605" s="329">
        <f t="shared" si="3147"/>
        <v>0</v>
      </c>
      <c r="AH605" s="329">
        <f t="shared" si="3147"/>
        <v>0</v>
      </c>
      <c r="AI605" s="329">
        <f t="shared" si="3147"/>
        <v>0</v>
      </c>
      <c r="AJ605" s="329">
        <f t="shared" si="3147"/>
        <v>1320</v>
      </c>
      <c r="AK605" s="329">
        <f t="shared" si="3147"/>
        <v>0</v>
      </c>
      <c r="AL605" s="329">
        <f t="shared" si="3147"/>
        <v>0</v>
      </c>
      <c r="AM605" s="329">
        <f t="shared" si="3147"/>
        <v>5280</v>
      </c>
      <c r="AN605" s="329">
        <f t="shared" si="3147"/>
        <v>0</v>
      </c>
      <c r="AO605" s="329">
        <f t="shared" si="3147"/>
        <v>0</v>
      </c>
      <c r="AP605" s="329">
        <f t="shared" si="3147"/>
        <v>3300</v>
      </c>
      <c r="AQ605" s="329">
        <f t="shared" si="3147"/>
        <v>0</v>
      </c>
      <c r="AR605" s="329">
        <f t="shared" si="3147"/>
        <v>0</v>
      </c>
      <c r="AS605" s="329">
        <f t="shared" si="3147"/>
        <v>0</v>
      </c>
      <c r="AT605" s="329">
        <f t="shared" si="3147"/>
        <v>0</v>
      </c>
      <c r="AU605" s="329">
        <f t="shared" si="3147"/>
        <v>0</v>
      </c>
      <c r="AV605" s="329">
        <f t="shared" si="3147"/>
        <v>0</v>
      </c>
      <c r="AW605" s="329">
        <f t="shared" si="3147"/>
        <v>0</v>
      </c>
      <c r="AX605" s="329">
        <f t="shared" si="3147"/>
        <v>0</v>
      </c>
      <c r="AY605" s="329">
        <f t="shared" si="3147"/>
        <v>0</v>
      </c>
      <c r="AZ605" s="329">
        <f t="shared" si="3147"/>
        <v>0</v>
      </c>
      <c r="BA605" s="329">
        <f t="shared" si="3147"/>
        <v>0</v>
      </c>
      <c r="BB605" s="329">
        <f t="shared" si="3147"/>
        <v>0</v>
      </c>
      <c r="BC605" s="329">
        <f t="shared" si="3147"/>
        <v>0</v>
      </c>
      <c r="BD605" s="329">
        <f t="shared" si="3147"/>
        <v>0</v>
      </c>
      <c r="BE605" s="329">
        <f t="shared" si="3147"/>
        <v>0</v>
      </c>
      <c r="BF605" s="329">
        <f t="shared" si="3147"/>
        <v>0</v>
      </c>
      <c r="BG605" s="329">
        <f t="shared" si="3147"/>
        <v>0</v>
      </c>
      <c r="BH605" s="329">
        <f t="shared" si="3147"/>
        <v>0</v>
      </c>
      <c r="BI605" s="329">
        <f t="shared" si="3147"/>
        <v>0</v>
      </c>
      <c r="BJ605" s="329">
        <f t="shared" si="3147"/>
        <v>0</v>
      </c>
      <c r="BK605" s="329">
        <f t="shared" si="3147"/>
        <v>0</v>
      </c>
      <c r="BL605" s="329">
        <f t="shared" si="3147"/>
        <v>0</v>
      </c>
      <c r="BM605" s="329">
        <f t="shared" si="3147"/>
        <v>0</v>
      </c>
      <c r="BN605" s="329">
        <f t="shared" si="3147"/>
        <v>9900</v>
      </c>
      <c r="BO605" s="329">
        <f t="shared" si="3147"/>
        <v>0</v>
      </c>
      <c r="BP605" s="329">
        <f t="shared" si="3147"/>
        <v>9900</v>
      </c>
      <c r="BQ605" s="329">
        <f t="shared" si="3147"/>
        <v>1259.8999999999996</v>
      </c>
      <c r="BR605" s="329">
        <f t="shared" si="3147"/>
        <v>13936.6</v>
      </c>
      <c r="BS605" s="329">
        <f t="shared" si="3147"/>
        <v>15196.5</v>
      </c>
      <c r="BT605" s="329">
        <f t="shared" si="3147"/>
        <v>0</v>
      </c>
      <c r="BU605" s="329">
        <f t="shared" si="3147"/>
        <v>9900</v>
      </c>
      <c r="BV605" s="329">
        <f t="shared" si="3147"/>
        <v>15196.5</v>
      </c>
      <c r="BW605" s="329">
        <f t="shared" si="3147"/>
        <v>25096.5</v>
      </c>
      <c r="BX605" s="6"/>
      <c r="BY605" s="6"/>
      <c r="BZ605" s="6"/>
      <c r="CA605" s="6"/>
      <c r="CB605" s="6"/>
      <c r="CC605" s="6"/>
      <c r="CD605" s="6"/>
      <c r="CE605" s="6"/>
      <c r="CF605" s="6"/>
      <c r="CG605" s="6"/>
    </row>
    <row r="606" spans="1:85" ht="15.75">
      <c r="A606" s="41"/>
      <c r="B606" s="42"/>
      <c r="C606" s="43"/>
      <c r="D606" s="44" t="s">
        <v>67</v>
      </c>
      <c r="E606" s="45">
        <f t="shared" ref="E606:H606" si="3148">SUM(E607:E608)</f>
        <v>7000</v>
      </c>
      <c r="F606" s="45">
        <f t="shared" si="3148"/>
        <v>0</v>
      </c>
      <c r="G606" s="45">
        <f t="shared" si="3148"/>
        <v>7000</v>
      </c>
      <c r="H606" s="45">
        <f t="shared" si="3148"/>
        <v>0</v>
      </c>
      <c r="I606" s="47">
        <f t="shared" si="3007"/>
        <v>0</v>
      </c>
      <c r="J606" s="47">
        <f t="shared" si="2705"/>
        <v>0</v>
      </c>
      <c r="K606" s="45">
        <f t="shared" ref="K606:W606" si="3149">SUM(K607:K608)</f>
        <v>0</v>
      </c>
      <c r="L606" s="45">
        <f t="shared" si="3149"/>
        <v>0</v>
      </c>
      <c r="M606" s="45">
        <f t="shared" si="3149"/>
        <v>0</v>
      </c>
      <c r="N606" s="45">
        <f t="shared" si="3149"/>
        <v>0</v>
      </c>
      <c r="O606" s="45">
        <f t="shared" si="3149"/>
        <v>0</v>
      </c>
      <c r="P606" s="45">
        <f t="shared" si="3149"/>
        <v>0</v>
      </c>
      <c r="Q606" s="45">
        <f t="shared" si="3149"/>
        <v>0</v>
      </c>
      <c r="R606" s="45">
        <f t="shared" si="3149"/>
        <v>0</v>
      </c>
      <c r="S606" s="45">
        <f t="shared" si="3149"/>
        <v>0</v>
      </c>
      <c r="T606" s="45">
        <f t="shared" si="3149"/>
        <v>0</v>
      </c>
      <c r="U606" s="45">
        <f t="shared" si="3149"/>
        <v>0</v>
      </c>
      <c r="V606" s="45">
        <f t="shared" si="3149"/>
        <v>0</v>
      </c>
      <c r="W606" s="45">
        <f t="shared" si="3149"/>
        <v>0</v>
      </c>
      <c r="X606" s="50">
        <f t="shared" ref="X606:Y606" si="3150">IF(O606&gt;0,O606/K606,0)</f>
        <v>0</v>
      </c>
      <c r="Y606" s="50">
        <f t="shared" si="3150"/>
        <v>0</v>
      </c>
      <c r="Z606" s="50">
        <f t="shared" si="2708"/>
        <v>0</v>
      </c>
      <c r="AA606" s="45">
        <f t="shared" ref="AA606:BW606" si="3151">SUM(AA607:AA608)</f>
        <v>0</v>
      </c>
      <c r="AB606" s="45">
        <f t="shared" si="3151"/>
        <v>0</v>
      </c>
      <c r="AC606" s="45">
        <f t="shared" si="3151"/>
        <v>0</v>
      </c>
      <c r="AD606" s="45">
        <f t="shared" si="3151"/>
        <v>0</v>
      </c>
      <c r="AE606" s="45">
        <f t="shared" si="3151"/>
        <v>0</v>
      </c>
      <c r="AF606" s="45">
        <f t="shared" si="3151"/>
        <v>0</v>
      </c>
      <c r="AG606" s="45">
        <f t="shared" si="3151"/>
        <v>0</v>
      </c>
      <c r="AH606" s="45">
        <f t="shared" si="3151"/>
        <v>0</v>
      </c>
      <c r="AI606" s="45">
        <f t="shared" si="3151"/>
        <v>0</v>
      </c>
      <c r="AJ606" s="45">
        <f t="shared" si="3151"/>
        <v>0</v>
      </c>
      <c r="AK606" s="45">
        <f t="shared" si="3151"/>
        <v>0</v>
      </c>
      <c r="AL606" s="45">
        <f t="shared" si="3151"/>
        <v>0</v>
      </c>
      <c r="AM606" s="45">
        <f t="shared" si="3151"/>
        <v>0</v>
      </c>
      <c r="AN606" s="45">
        <f t="shared" si="3151"/>
        <v>0</v>
      </c>
      <c r="AO606" s="45">
        <f t="shared" si="3151"/>
        <v>0</v>
      </c>
      <c r="AP606" s="45">
        <f t="shared" si="3151"/>
        <v>0</v>
      </c>
      <c r="AQ606" s="45">
        <f t="shared" si="3151"/>
        <v>0</v>
      </c>
      <c r="AR606" s="45">
        <f t="shared" si="3151"/>
        <v>0</v>
      </c>
      <c r="AS606" s="45">
        <f t="shared" si="3151"/>
        <v>0</v>
      </c>
      <c r="AT606" s="45">
        <f t="shared" si="3151"/>
        <v>0</v>
      </c>
      <c r="AU606" s="45">
        <f t="shared" si="3151"/>
        <v>0</v>
      </c>
      <c r="AV606" s="45">
        <f t="shared" si="3151"/>
        <v>0</v>
      </c>
      <c r="AW606" s="45">
        <f t="shared" si="3151"/>
        <v>0</v>
      </c>
      <c r="AX606" s="45">
        <f t="shared" si="3151"/>
        <v>0</v>
      </c>
      <c r="AY606" s="45">
        <f t="shared" si="3151"/>
        <v>0</v>
      </c>
      <c r="AZ606" s="45">
        <f t="shared" si="3151"/>
        <v>0</v>
      </c>
      <c r="BA606" s="45">
        <f t="shared" si="3151"/>
        <v>0</v>
      </c>
      <c r="BB606" s="45">
        <f t="shared" si="3151"/>
        <v>0</v>
      </c>
      <c r="BC606" s="45">
        <f t="shared" si="3151"/>
        <v>0</v>
      </c>
      <c r="BD606" s="45">
        <f t="shared" si="3151"/>
        <v>0</v>
      </c>
      <c r="BE606" s="45">
        <f t="shared" si="3151"/>
        <v>0</v>
      </c>
      <c r="BF606" s="45">
        <f t="shared" si="3151"/>
        <v>0</v>
      </c>
      <c r="BG606" s="45">
        <f t="shared" si="3151"/>
        <v>0</v>
      </c>
      <c r="BH606" s="45">
        <f t="shared" si="3151"/>
        <v>0</v>
      </c>
      <c r="BI606" s="45">
        <f t="shared" si="3151"/>
        <v>0</v>
      </c>
      <c r="BJ606" s="45">
        <f t="shared" si="3151"/>
        <v>0</v>
      </c>
      <c r="BK606" s="45">
        <f t="shared" si="3151"/>
        <v>0</v>
      </c>
      <c r="BL606" s="45">
        <f t="shared" si="3151"/>
        <v>0</v>
      </c>
      <c r="BM606" s="45">
        <f t="shared" si="3151"/>
        <v>0</v>
      </c>
      <c r="BN606" s="45">
        <f t="shared" si="3151"/>
        <v>0</v>
      </c>
      <c r="BO606" s="45">
        <f t="shared" si="3151"/>
        <v>0</v>
      </c>
      <c r="BP606" s="45">
        <f t="shared" si="3151"/>
        <v>0</v>
      </c>
      <c r="BQ606" s="45">
        <f t="shared" si="3151"/>
        <v>0</v>
      </c>
      <c r="BR606" s="45">
        <f t="shared" si="3151"/>
        <v>0</v>
      </c>
      <c r="BS606" s="45">
        <f t="shared" si="3151"/>
        <v>0</v>
      </c>
      <c r="BT606" s="45">
        <f t="shared" si="3151"/>
        <v>0</v>
      </c>
      <c r="BU606" s="45">
        <f t="shared" si="3151"/>
        <v>0</v>
      </c>
      <c r="BV606" s="45">
        <f t="shared" si="3151"/>
        <v>0</v>
      </c>
      <c r="BW606" s="45">
        <f t="shared" si="3151"/>
        <v>0</v>
      </c>
      <c r="BX606" s="51"/>
      <c r="BY606" s="51"/>
      <c r="BZ606" s="51"/>
      <c r="CA606" s="51"/>
      <c r="CB606" s="51"/>
      <c r="CC606" s="51"/>
      <c r="CD606" s="51"/>
      <c r="CE606" s="51"/>
      <c r="CF606" s="51"/>
      <c r="CG606" s="51"/>
    </row>
    <row r="607" spans="1:85" ht="15.75" customHeight="1">
      <c r="A607" s="68"/>
      <c r="B607" s="103"/>
      <c r="C607" s="68" t="s">
        <v>69</v>
      </c>
      <c r="D607" s="105" t="s">
        <v>716</v>
      </c>
      <c r="E607" s="56">
        <v>2000</v>
      </c>
      <c r="F607" s="99">
        <v>0</v>
      </c>
      <c r="G607" s="58">
        <f t="shared" ref="G607:G608" si="3152">E607-F607</f>
        <v>2000</v>
      </c>
      <c r="H607" s="99">
        <v>0</v>
      </c>
      <c r="I607" s="59">
        <f t="shared" si="3007"/>
        <v>0</v>
      </c>
      <c r="J607" s="59">
        <f t="shared" si="2705"/>
        <v>0</v>
      </c>
      <c r="K607" s="74">
        <v>0</v>
      </c>
      <c r="L607" s="74">
        <v>0</v>
      </c>
      <c r="M607" s="74">
        <v>0</v>
      </c>
      <c r="N607" s="74">
        <v>0</v>
      </c>
      <c r="O607" s="61">
        <f t="shared" ref="O607:Q607" si="3153">AA607+AD607+AG607+AJ607+AM607+AP607+AS607+AV607+AY607+BB607+BE607+BH607</f>
        <v>0</v>
      </c>
      <c r="P607" s="61">
        <f t="shared" si="3153"/>
        <v>0</v>
      </c>
      <c r="Q607" s="61">
        <f t="shared" si="3153"/>
        <v>0</v>
      </c>
      <c r="R607" s="61">
        <f t="shared" ref="R607:T607" si="3154">IF(BK607=0,SUM(AA607+AD607+AG607+AJ607+AM607+AP607+AS607+AV607+AY607+BB607+BE607+BH607),BK607)</f>
        <v>0</v>
      </c>
      <c r="S607" s="61">
        <f t="shared" si="3154"/>
        <v>0</v>
      </c>
      <c r="T607" s="61">
        <f t="shared" si="3154"/>
        <v>0</v>
      </c>
      <c r="U607" s="63">
        <f t="shared" ref="U607:U608" si="3155">K607-O607</f>
        <v>0</v>
      </c>
      <c r="V607" s="63">
        <f t="shared" ref="V607:V608" si="3156">L607-M607-S607</f>
        <v>0</v>
      </c>
      <c r="W607" s="63">
        <f t="shared" ref="W607:W608" si="3157">N607-Q607</f>
        <v>0</v>
      </c>
      <c r="X607" s="64">
        <f t="shared" ref="X607:Y607" si="3158">IF(O607&gt;0,O607/K607,0)</f>
        <v>0</v>
      </c>
      <c r="Y607" s="64">
        <f t="shared" si="3158"/>
        <v>0</v>
      </c>
      <c r="Z607" s="64">
        <f t="shared" si="2708"/>
        <v>0</v>
      </c>
      <c r="AA607" s="65"/>
      <c r="AB607" s="65"/>
      <c r="AC607" s="65"/>
      <c r="AD607" s="65"/>
      <c r="AE607" s="66"/>
      <c r="AF607" s="66"/>
      <c r="AG607" s="66"/>
      <c r="AH607" s="66"/>
      <c r="AI607" s="65"/>
      <c r="AJ607" s="65"/>
      <c r="AK607" s="65"/>
      <c r="AL607" s="65"/>
      <c r="AM607" s="65"/>
      <c r="AN607" s="65"/>
      <c r="AO607" s="65"/>
      <c r="AP607" s="65"/>
      <c r="AQ607" s="65"/>
      <c r="AR607" s="65"/>
      <c r="AS607" s="65"/>
      <c r="AT607" s="65"/>
      <c r="AU607" s="65"/>
      <c r="AV607" s="65"/>
      <c r="AW607" s="65"/>
      <c r="AX607" s="65"/>
      <c r="AY607" s="65"/>
      <c r="AZ607" s="65"/>
      <c r="BA607" s="65"/>
      <c r="BB607" s="65"/>
      <c r="BC607" s="65"/>
      <c r="BD607" s="65"/>
      <c r="BE607" s="65"/>
      <c r="BF607" s="65"/>
      <c r="BG607" s="65"/>
      <c r="BH607" s="65"/>
      <c r="BI607" s="65"/>
      <c r="BJ607" s="65"/>
      <c r="BK607" s="65">
        <v>0</v>
      </c>
      <c r="BL607" s="65">
        <v>0</v>
      </c>
      <c r="BM607" s="65">
        <v>0</v>
      </c>
      <c r="BN607" s="65">
        <f t="shared" ref="BN607:BN608" si="3159">IF(O607-BK607&gt;0,O607-BK607,0)</f>
        <v>0</v>
      </c>
      <c r="BO607" s="67">
        <f t="shared" ref="BO607:BO608" si="3160">IF(Q607-BM607&gt;0,Q607-BM607,0)</f>
        <v>0</v>
      </c>
      <c r="BP607" s="65">
        <f t="shared" ref="BP607:BP608" si="3161">IF(BN607+BO607&gt;0,BN607+BO607,0)</f>
        <v>0</v>
      </c>
      <c r="BQ607" s="65">
        <f t="shared" ref="BQ607:BQ608" si="3162">IF(U607=0,0,U607)</f>
        <v>0</v>
      </c>
      <c r="BR607" s="65">
        <f t="shared" ref="BR607:BR608" si="3163">IF(W607=0,0,W607)</f>
        <v>0</v>
      </c>
      <c r="BS607" s="65">
        <f t="shared" ref="BS607:BS608" si="3164">IF(BQ607+BR607&gt;0,BQ607+BR607,0)</f>
        <v>0</v>
      </c>
      <c r="BT607" s="65">
        <f t="shared" ref="BT607:BT608" si="3165">IF(V607&gt;0,V607,0)</f>
        <v>0</v>
      </c>
      <c r="BU607" s="65">
        <f t="shared" ref="BU607:BU608" si="3166">IF(BP607=0,0,BP607)</f>
        <v>0</v>
      </c>
      <c r="BV607" s="65">
        <f t="shared" ref="BV607:BV608" si="3167">IF(BS607=0,0,BS607)</f>
        <v>0</v>
      </c>
      <c r="BW607" s="65">
        <f t="shared" ref="BW607:BW608" si="3168">IF(BP607+BT607+BV607&gt;0,BP607+BT607+BV607,0)</f>
        <v>0</v>
      </c>
      <c r="BX607" s="6"/>
      <c r="BY607" s="6"/>
      <c r="BZ607" s="6"/>
      <c r="CA607" s="6"/>
      <c r="CB607" s="6"/>
      <c r="CC607" s="6"/>
      <c r="CD607" s="6"/>
      <c r="CE607" s="6"/>
      <c r="CF607" s="6"/>
      <c r="CG607" s="6"/>
    </row>
    <row r="608" spans="1:85" ht="15.75">
      <c r="A608" s="68"/>
      <c r="B608" s="69"/>
      <c r="C608" s="68" t="s">
        <v>71</v>
      </c>
      <c r="D608" s="70" t="s">
        <v>72</v>
      </c>
      <c r="E608" s="56">
        <v>5000</v>
      </c>
      <c r="F608" s="57">
        <v>0</v>
      </c>
      <c r="G608" s="58">
        <f t="shared" si="3152"/>
        <v>5000</v>
      </c>
      <c r="H608" s="57">
        <v>0</v>
      </c>
      <c r="I608" s="59">
        <f t="shared" si="3007"/>
        <v>0</v>
      </c>
      <c r="J608" s="59">
        <f t="shared" si="2705"/>
        <v>0</v>
      </c>
      <c r="K608" s="60">
        <v>0</v>
      </c>
      <c r="L608" s="60">
        <v>0</v>
      </c>
      <c r="M608" s="60">
        <v>0</v>
      </c>
      <c r="N608" s="60">
        <v>0</v>
      </c>
      <c r="O608" s="61">
        <f t="shared" ref="O608:Q608" si="3169">AA608+AD608+AG608+AJ608+AM608+AP608+AS608+AV608+AY608+BB608+BE608+BH608</f>
        <v>0</v>
      </c>
      <c r="P608" s="61">
        <f t="shared" si="3169"/>
        <v>0</v>
      </c>
      <c r="Q608" s="61">
        <f t="shared" si="3169"/>
        <v>0</v>
      </c>
      <c r="R608" s="61">
        <f t="shared" ref="R608:T608" si="3170">IF(BK608=0,SUM(AA608+AD608+AG608+AJ608+AM608+AP608+AS608+AV608+AY608+BB608+BE608+BH608),BK608)</f>
        <v>0</v>
      </c>
      <c r="S608" s="61">
        <f t="shared" si="3170"/>
        <v>0</v>
      </c>
      <c r="T608" s="61">
        <f t="shared" si="3170"/>
        <v>0</v>
      </c>
      <c r="U608" s="63">
        <f t="shared" si="3155"/>
        <v>0</v>
      </c>
      <c r="V608" s="63">
        <f t="shared" si="3156"/>
        <v>0</v>
      </c>
      <c r="W608" s="63">
        <f t="shared" si="3157"/>
        <v>0</v>
      </c>
      <c r="X608" s="64">
        <f t="shared" ref="X608:Y608" si="3171">IF(O608&gt;0,O608/K608,0)</f>
        <v>0</v>
      </c>
      <c r="Y608" s="64">
        <f t="shared" si="3171"/>
        <v>0</v>
      </c>
      <c r="Z608" s="64">
        <f t="shared" si="2708"/>
        <v>0</v>
      </c>
      <c r="AA608" s="65"/>
      <c r="AB608" s="65"/>
      <c r="AC608" s="65"/>
      <c r="AD608" s="65"/>
      <c r="AE608" s="66"/>
      <c r="AF608" s="66"/>
      <c r="AG608" s="66"/>
      <c r="AH608" s="66"/>
      <c r="AI608" s="65"/>
      <c r="AJ608" s="65"/>
      <c r="AK608" s="65"/>
      <c r="AL608" s="65"/>
      <c r="AM608" s="65"/>
      <c r="AN608" s="65"/>
      <c r="AO608" s="65"/>
      <c r="AP608" s="65"/>
      <c r="AQ608" s="65"/>
      <c r="AR608" s="65"/>
      <c r="AS608" s="65"/>
      <c r="AT608" s="65"/>
      <c r="AU608" s="65"/>
      <c r="AV608" s="65"/>
      <c r="AW608" s="65"/>
      <c r="AX608" s="65"/>
      <c r="AY608" s="65"/>
      <c r="AZ608" s="65"/>
      <c r="BA608" s="65"/>
      <c r="BB608" s="65"/>
      <c r="BC608" s="65"/>
      <c r="BD608" s="65"/>
      <c r="BE608" s="65"/>
      <c r="BF608" s="65"/>
      <c r="BG608" s="65"/>
      <c r="BH608" s="65"/>
      <c r="BI608" s="65"/>
      <c r="BJ608" s="65"/>
      <c r="BK608" s="65">
        <v>0</v>
      </c>
      <c r="BL608" s="65">
        <v>0</v>
      </c>
      <c r="BM608" s="65">
        <v>0</v>
      </c>
      <c r="BN608" s="65">
        <f t="shared" si="3159"/>
        <v>0</v>
      </c>
      <c r="BO608" s="67">
        <f t="shared" si="3160"/>
        <v>0</v>
      </c>
      <c r="BP608" s="65">
        <f t="shared" si="3161"/>
        <v>0</v>
      </c>
      <c r="BQ608" s="65">
        <f t="shared" si="3162"/>
        <v>0</v>
      </c>
      <c r="BR608" s="65">
        <f t="shared" si="3163"/>
        <v>0</v>
      </c>
      <c r="BS608" s="65">
        <f t="shared" si="3164"/>
        <v>0</v>
      </c>
      <c r="BT608" s="65">
        <f t="shared" si="3165"/>
        <v>0</v>
      </c>
      <c r="BU608" s="65">
        <f t="shared" si="3166"/>
        <v>0</v>
      </c>
      <c r="BV608" s="65">
        <f t="shared" si="3167"/>
        <v>0</v>
      </c>
      <c r="BW608" s="65">
        <f t="shared" si="3168"/>
        <v>0</v>
      </c>
      <c r="BX608" s="6"/>
      <c r="BY608" s="6"/>
      <c r="BZ608" s="6"/>
      <c r="CA608" s="6"/>
      <c r="CB608" s="6"/>
      <c r="CC608" s="6"/>
      <c r="CD608" s="6"/>
      <c r="CE608" s="6"/>
      <c r="CF608" s="6"/>
      <c r="CG608" s="6"/>
    </row>
    <row r="609" spans="1:85" ht="15.75">
      <c r="A609" s="75"/>
      <c r="B609" s="76"/>
      <c r="C609" s="77"/>
      <c r="D609" s="78" t="s">
        <v>83</v>
      </c>
      <c r="E609" s="45">
        <f t="shared" ref="E609:H609" si="3172">SUM(E610:E614)</f>
        <v>13000</v>
      </c>
      <c r="F609" s="45">
        <f t="shared" si="3172"/>
        <v>0</v>
      </c>
      <c r="G609" s="45">
        <f t="shared" si="3172"/>
        <v>13000</v>
      </c>
      <c r="H609" s="45">
        <f t="shared" si="3172"/>
        <v>0</v>
      </c>
      <c r="I609" s="47">
        <f t="shared" si="3007"/>
        <v>0.10108461538461538</v>
      </c>
      <c r="J609" s="47">
        <f t="shared" si="2705"/>
        <v>3.8538461538461539E-3</v>
      </c>
      <c r="K609" s="45">
        <f t="shared" ref="K609:W609" si="3173">SUM(K610:K614)</f>
        <v>1314.1</v>
      </c>
      <c r="L609" s="45">
        <f t="shared" si="3173"/>
        <v>0</v>
      </c>
      <c r="M609" s="45">
        <f t="shared" si="3173"/>
        <v>0</v>
      </c>
      <c r="N609" s="45">
        <f t="shared" si="3173"/>
        <v>0</v>
      </c>
      <c r="O609" s="45">
        <f t="shared" si="3173"/>
        <v>50.1</v>
      </c>
      <c r="P609" s="45">
        <f t="shared" si="3173"/>
        <v>0</v>
      </c>
      <c r="Q609" s="45">
        <f t="shared" si="3173"/>
        <v>0</v>
      </c>
      <c r="R609" s="45">
        <f t="shared" si="3173"/>
        <v>50.1</v>
      </c>
      <c r="S609" s="45">
        <f t="shared" si="3173"/>
        <v>0</v>
      </c>
      <c r="T609" s="45">
        <f t="shared" si="3173"/>
        <v>0</v>
      </c>
      <c r="U609" s="45">
        <f t="shared" si="3173"/>
        <v>1264</v>
      </c>
      <c r="V609" s="45">
        <f t="shared" si="3173"/>
        <v>0</v>
      </c>
      <c r="W609" s="45">
        <f t="shared" si="3173"/>
        <v>0</v>
      </c>
      <c r="X609" s="50">
        <f t="shared" ref="X609:Y609" si="3174">IF(O609&gt;0,O609/K609,0)</f>
        <v>3.8124952438931589E-2</v>
      </c>
      <c r="Y609" s="50">
        <f t="shared" si="3174"/>
        <v>0</v>
      </c>
      <c r="Z609" s="50">
        <f t="shared" si="2708"/>
        <v>0</v>
      </c>
      <c r="AA609" s="45">
        <f t="shared" ref="AA609:BW609" si="3175">SUM(AA610)</f>
        <v>0</v>
      </c>
      <c r="AB609" s="45">
        <f t="shared" si="3175"/>
        <v>0</v>
      </c>
      <c r="AC609" s="45">
        <f t="shared" si="3175"/>
        <v>0</v>
      </c>
      <c r="AD609" s="45">
        <f t="shared" si="3175"/>
        <v>0</v>
      </c>
      <c r="AE609" s="45">
        <f t="shared" si="3175"/>
        <v>0</v>
      </c>
      <c r="AF609" s="45">
        <f t="shared" si="3175"/>
        <v>0</v>
      </c>
      <c r="AG609" s="45">
        <f t="shared" si="3175"/>
        <v>0</v>
      </c>
      <c r="AH609" s="45">
        <f t="shared" si="3175"/>
        <v>0</v>
      </c>
      <c r="AI609" s="45">
        <f t="shared" si="3175"/>
        <v>0</v>
      </c>
      <c r="AJ609" s="45">
        <f t="shared" si="3175"/>
        <v>0</v>
      </c>
      <c r="AK609" s="45">
        <f t="shared" si="3175"/>
        <v>0</v>
      </c>
      <c r="AL609" s="45">
        <f t="shared" si="3175"/>
        <v>0</v>
      </c>
      <c r="AM609" s="45">
        <f t="shared" si="3175"/>
        <v>0</v>
      </c>
      <c r="AN609" s="45">
        <f t="shared" si="3175"/>
        <v>0</v>
      </c>
      <c r="AO609" s="45">
        <f t="shared" si="3175"/>
        <v>0</v>
      </c>
      <c r="AP609" s="45">
        <f t="shared" si="3175"/>
        <v>0</v>
      </c>
      <c r="AQ609" s="45">
        <f t="shared" si="3175"/>
        <v>0</v>
      </c>
      <c r="AR609" s="45">
        <f t="shared" si="3175"/>
        <v>0</v>
      </c>
      <c r="AS609" s="45">
        <f t="shared" si="3175"/>
        <v>0</v>
      </c>
      <c r="AT609" s="45">
        <f t="shared" si="3175"/>
        <v>0</v>
      </c>
      <c r="AU609" s="45">
        <f t="shared" si="3175"/>
        <v>0</v>
      </c>
      <c r="AV609" s="45">
        <f t="shared" si="3175"/>
        <v>0</v>
      </c>
      <c r="AW609" s="45">
        <f t="shared" si="3175"/>
        <v>0</v>
      </c>
      <c r="AX609" s="45">
        <f t="shared" si="3175"/>
        <v>0</v>
      </c>
      <c r="AY609" s="45">
        <f t="shared" si="3175"/>
        <v>0</v>
      </c>
      <c r="AZ609" s="45">
        <f t="shared" si="3175"/>
        <v>0</v>
      </c>
      <c r="BA609" s="45">
        <f t="shared" si="3175"/>
        <v>0</v>
      </c>
      <c r="BB609" s="45">
        <f t="shared" si="3175"/>
        <v>0</v>
      </c>
      <c r="BC609" s="45">
        <f t="shared" si="3175"/>
        <v>0</v>
      </c>
      <c r="BD609" s="45">
        <f t="shared" si="3175"/>
        <v>0</v>
      </c>
      <c r="BE609" s="45">
        <f t="shared" si="3175"/>
        <v>0</v>
      </c>
      <c r="BF609" s="45">
        <f t="shared" si="3175"/>
        <v>0</v>
      </c>
      <c r="BG609" s="45">
        <f t="shared" si="3175"/>
        <v>0</v>
      </c>
      <c r="BH609" s="45">
        <f t="shared" si="3175"/>
        <v>0</v>
      </c>
      <c r="BI609" s="45">
        <f t="shared" si="3175"/>
        <v>0</v>
      </c>
      <c r="BJ609" s="45">
        <f t="shared" si="3175"/>
        <v>0</v>
      </c>
      <c r="BK609" s="45">
        <f t="shared" si="3175"/>
        <v>0</v>
      </c>
      <c r="BL609" s="45">
        <f t="shared" si="3175"/>
        <v>0</v>
      </c>
      <c r="BM609" s="45">
        <f t="shared" si="3175"/>
        <v>0</v>
      </c>
      <c r="BN609" s="45">
        <f t="shared" si="3175"/>
        <v>0</v>
      </c>
      <c r="BO609" s="45">
        <f t="shared" si="3175"/>
        <v>0</v>
      </c>
      <c r="BP609" s="45">
        <f t="shared" si="3175"/>
        <v>0</v>
      </c>
      <c r="BQ609" s="45">
        <f t="shared" si="3175"/>
        <v>0</v>
      </c>
      <c r="BR609" s="45">
        <f t="shared" si="3175"/>
        <v>0</v>
      </c>
      <c r="BS609" s="45">
        <f t="shared" si="3175"/>
        <v>0</v>
      </c>
      <c r="BT609" s="45">
        <f t="shared" si="3175"/>
        <v>0</v>
      </c>
      <c r="BU609" s="45">
        <f t="shared" si="3175"/>
        <v>0</v>
      </c>
      <c r="BV609" s="45">
        <f t="shared" si="3175"/>
        <v>0</v>
      </c>
      <c r="BW609" s="45">
        <f t="shared" si="3175"/>
        <v>0</v>
      </c>
      <c r="BX609" s="51"/>
      <c r="BY609" s="51"/>
      <c r="BZ609" s="51"/>
      <c r="CA609" s="51"/>
      <c r="CB609" s="51"/>
      <c r="CC609" s="51"/>
      <c r="CD609" s="51"/>
      <c r="CE609" s="51"/>
      <c r="CF609" s="51"/>
      <c r="CG609" s="51"/>
    </row>
    <row r="610" spans="1:85" ht="15.75" customHeight="1">
      <c r="A610" s="68"/>
      <c r="B610" s="103"/>
      <c r="C610" s="68" t="s">
        <v>110</v>
      </c>
      <c r="D610" s="193" t="s">
        <v>717</v>
      </c>
      <c r="E610" s="56">
        <v>13000</v>
      </c>
      <c r="F610" s="99">
        <v>0</v>
      </c>
      <c r="G610" s="58">
        <f t="shared" ref="G610:G614" si="3176">E610-F610</f>
        <v>13000</v>
      </c>
      <c r="H610" s="99">
        <v>0</v>
      </c>
      <c r="I610" s="59">
        <f t="shared" si="3007"/>
        <v>0</v>
      </c>
      <c r="J610" s="59">
        <f t="shared" si="2705"/>
        <v>0</v>
      </c>
      <c r="K610" s="74">
        <v>0</v>
      </c>
      <c r="L610" s="74">
        <v>0</v>
      </c>
      <c r="M610" s="74">
        <v>0</v>
      </c>
      <c r="N610" s="74">
        <v>0</v>
      </c>
      <c r="O610" s="61">
        <f t="shared" ref="O610:Q610" si="3177">AA610+AD610+AG610+AJ610+AM610+AP610+AS610+AV610+AY610+BB610+BE610+BH610</f>
        <v>0</v>
      </c>
      <c r="P610" s="61">
        <f t="shared" si="3177"/>
        <v>0</v>
      </c>
      <c r="Q610" s="61">
        <f t="shared" si="3177"/>
        <v>0</v>
      </c>
      <c r="R610" s="61">
        <f t="shared" ref="R610:T610" si="3178">IF(BK610=0,SUM(AA610+AD610+AG610+AJ610+AM610+AP610+AS610+AV610+AY610+BB610+BE610+BH610),BK610)</f>
        <v>0</v>
      </c>
      <c r="S610" s="61">
        <f t="shared" si="3178"/>
        <v>0</v>
      </c>
      <c r="T610" s="61">
        <f t="shared" si="3178"/>
        <v>0</v>
      </c>
      <c r="U610" s="63">
        <f t="shared" ref="U610:U614" si="3179">K610-O610</f>
        <v>0</v>
      </c>
      <c r="V610" s="63">
        <f t="shared" ref="V610:V614" si="3180">L610-M610-S610</f>
        <v>0</v>
      </c>
      <c r="W610" s="63">
        <f t="shared" ref="W610:W614" si="3181">N610-Q610</f>
        <v>0</v>
      </c>
      <c r="X610" s="64">
        <f t="shared" ref="X610:Y610" si="3182">IF(O610&gt;0,O610/K610,0)</f>
        <v>0</v>
      </c>
      <c r="Y610" s="64">
        <f t="shared" si="3182"/>
        <v>0</v>
      </c>
      <c r="Z610" s="64">
        <f t="shared" si="2708"/>
        <v>0</v>
      </c>
      <c r="AA610" s="65"/>
      <c r="AB610" s="65"/>
      <c r="AC610" s="65"/>
      <c r="AD610" s="65"/>
      <c r="AE610" s="66"/>
      <c r="AF610" s="66"/>
      <c r="AG610" s="66"/>
      <c r="AH610" s="66"/>
      <c r="AI610" s="65"/>
      <c r="AJ610" s="65"/>
      <c r="AK610" s="65"/>
      <c r="AL610" s="65"/>
      <c r="AM610" s="65"/>
      <c r="AN610" s="65"/>
      <c r="AO610" s="65"/>
      <c r="AP610" s="65"/>
      <c r="AQ610" s="65"/>
      <c r="AR610" s="65"/>
      <c r="AS610" s="65"/>
      <c r="AT610" s="65"/>
      <c r="AU610" s="65"/>
      <c r="AV610" s="65"/>
      <c r="AW610" s="65"/>
      <c r="AX610" s="65"/>
      <c r="AY610" s="65"/>
      <c r="AZ610" s="65"/>
      <c r="BA610" s="65"/>
      <c r="BB610" s="65"/>
      <c r="BC610" s="65"/>
      <c r="BD610" s="65"/>
      <c r="BE610" s="65"/>
      <c r="BF610" s="65"/>
      <c r="BG610" s="65"/>
      <c r="BH610" s="65"/>
      <c r="BI610" s="65"/>
      <c r="BJ610" s="65"/>
      <c r="BK610" s="65">
        <v>0</v>
      </c>
      <c r="BL610" s="65">
        <v>0</v>
      </c>
      <c r="BM610" s="65">
        <v>0</v>
      </c>
      <c r="BN610" s="65">
        <f t="shared" ref="BN610:BN614" si="3183">IF(O610-BK610&gt;0,O610-BK610,0)</f>
        <v>0</v>
      </c>
      <c r="BO610" s="67">
        <f t="shared" ref="BO610:BO614" si="3184">IF(Q610-BM610&gt;0,Q610-BM610,0)</f>
        <v>0</v>
      </c>
      <c r="BP610" s="65">
        <f t="shared" ref="BP610:BP614" si="3185">IF(BN610+BO610&gt;0,BN610+BO610,0)</f>
        <v>0</v>
      </c>
      <c r="BQ610" s="65">
        <f t="shared" ref="BQ610:BQ614" si="3186">IF(U610=0,0,U610)</f>
        <v>0</v>
      </c>
      <c r="BR610" s="65">
        <f t="shared" ref="BR610:BR614" si="3187">IF(W610=0,0,W610)</f>
        <v>0</v>
      </c>
      <c r="BS610" s="65">
        <f t="shared" ref="BS610:BS614" si="3188">IF(BQ610+BR610&gt;0,BQ610+BR610,0)</f>
        <v>0</v>
      </c>
      <c r="BT610" s="65">
        <f t="shared" ref="BT610:BT614" si="3189">IF(V610&gt;0,V610,0)</f>
        <v>0</v>
      </c>
      <c r="BU610" s="65">
        <f t="shared" ref="BU610:BU614" si="3190">IF(BP610=0,0,BP610)</f>
        <v>0</v>
      </c>
      <c r="BV610" s="65">
        <f t="shared" ref="BV610:BV614" si="3191">IF(BS610=0,0,BS610)</f>
        <v>0</v>
      </c>
      <c r="BW610" s="65">
        <f t="shared" ref="BW610:BW614" si="3192">IF(BP610+BT610+BV610&gt;0,BP610+BT610+BV610,0)</f>
        <v>0</v>
      </c>
      <c r="BX610" s="6"/>
      <c r="BY610" s="6"/>
      <c r="BZ610" s="6"/>
      <c r="CA610" s="6"/>
      <c r="CB610" s="6"/>
      <c r="CC610" s="6"/>
      <c r="CD610" s="6"/>
      <c r="CE610" s="6"/>
      <c r="CF610" s="6"/>
      <c r="CG610" s="6"/>
    </row>
    <row r="611" spans="1:85" ht="15.75" customHeight="1">
      <c r="A611" s="173" t="s">
        <v>718</v>
      </c>
      <c r="B611" s="121"/>
      <c r="C611" s="104" t="s">
        <v>123</v>
      </c>
      <c r="D611" s="174" t="s">
        <v>719</v>
      </c>
      <c r="E611" s="99">
        <v>0</v>
      </c>
      <c r="F611" s="99">
        <v>0</v>
      </c>
      <c r="G611" s="58">
        <f t="shared" si="3176"/>
        <v>0</v>
      </c>
      <c r="H611" s="99">
        <v>0</v>
      </c>
      <c r="I611" s="340">
        <f t="shared" si="3007"/>
        <v>0</v>
      </c>
      <c r="J611" s="59">
        <f t="shared" si="2705"/>
        <v>0</v>
      </c>
      <c r="K611" s="60">
        <v>50.1</v>
      </c>
      <c r="L611" s="266">
        <v>0</v>
      </c>
      <c r="M611" s="100">
        <v>0</v>
      </c>
      <c r="N611" s="60">
        <v>0</v>
      </c>
      <c r="O611" s="61">
        <f t="shared" ref="O611:Q611" si="3193">AA611+AD611+AG611+AJ611+AM611+AP611+AS611+AV611+AY611+BB611+BE611+BH611</f>
        <v>50.1</v>
      </c>
      <c r="P611" s="61">
        <f t="shared" si="3193"/>
        <v>0</v>
      </c>
      <c r="Q611" s="61">
        <f t="shared" si="3193"/>
        <v>0</v>
      </c>
      <c r="R611" s="61">
        <f t="shared" ref="R611:T611" si="3194">IF(BK611=0,SUM(AA611+AD611+AG611+AJ611+AM611+AP611+AS611+AV611+AY611+BB611+BE611+BH611),BK611)</f>
        <v>50.1</v>
      </c>
      <c r="S611" s="61">
        <f t="shared" si="3194"/>
        <v>0</v>
      </c>
      <c r="T611" s="61">
        <f t="shared" si="3194"/>
        <v>0</v>
      </c>
      <c r="U611" s="63">
        <f t="shared" si="3179"/>
        <v>0</v>
      </c>
      <c r="V611" s="63">
        <f t="shared" si="3180"/>
        <v>0</v>
      </c>
      <c r="W611" s="63">
        <f t="shared" si="3181"/>
        <v>0</v>
      </c>
      <c r="X611" s="64">
        <f t="shared" ref="X611:Y611" si="3195">IF(O611&gt;0,O611/K611,0)</f>
        <v>1</v>
      </c>
      <c r="Y611" s="64">
        <f t="shared" si="3195"/>
        <v>0</v>
      </c>
      <c r="Z611" s="64">
        <f t="shared" si="2708"/>
        <v>0</v>
      </c>
      <c r="AA611" s="65"/>
      <c r="AB611" s="65"/>
      <c r="AC611" s="65"/>
      <c r="AD611" s="65"/>
      <c r="AE611" s="66"/>
      <c r="AF611" s="66"/>
      <c r="AG611" s="66"/>
      <c r="AH611" s="66"/>
      <c r="AI611" s="65"/>
      <c r="AJ611" s="65"/>
      <c r="AK611" s="65"/>
      <c r="AL611" s="65"/>
      <c r="AM611" s="65"/>
      <c r="AN611" s="65"/>
      <c r="AO611" s="65"/>
      <c r="AP611" s="100">
        <v>50.1</v>
      </c>
      <c r="AQ611" s="65"/>
      <c r="AR611" s="100"/>
      <c r="AS611" s="65"/>
      <c r="AT611" s="65"/>
      <c r="AU611" s="65"/>
      <c r="AV611" s="65"/>
      <c r="AW611" s="65"/>
      <c r="AX611" s="65"/>
      <c r="AY611" s="65"/>
      <c r="AZ611" s="65"/>
      <c r="BA611" s="65"/>
      <c r="BB611" s="65"/>
      <c r="BC611" s="65"/>
      <c r="BD611" s="65"/>
      <c r="BE611" s="65"/>
      <c r="BF611" s="65"/>
      <c r="BG611" s="65"/>
      <c r="BH611" s="65"/>
      <c r="BI611" s="65"/>
      <c r="BJ611" s="65"/>
      <c r="BK611" s="65">
        <v>0</v>
      </c>
      <c r="BL611" s="65">
        <v>0</v>
      </c>
      <c r="BM611" s="65">
        <v>0</v>
      </c>
      <c r="BN611" s="65">
        <f t="shared" si="3183"/>
        <v>50.1</v>
      </c>
      <c r="BO611" s="67">
        <f t="shared" si="3184"/>
        <v>0</v>
      </c>
      <c r="BP611" s="65">
        <f t="shared" si="3185"/>
        <v>50.1</v>
      </c>
      <c r="BQ611" s="65">
        <f t="shared" si="3186"/>
        <v>0</v>
      </c>
      <c r="BR611" s="65">
        <f t="shared" si="3187"/>
        <v>0</v>
      </c>
      <c r="BS611" s="65">
        <f t="shared" si="3188"/>
        <v>0</v>
      </c>
      <c r="BT611" s="65">
        <f t="shared" si="3189"/>
        <v>0</v>
      </c>
      <c r="BU611" s="65">
        <f t="shared" si="3190"/>
        <v>50.1</v>
      </c>
      <c r="BV611" s="65">
        <f t="shared" si="3191"/>
        <v>0</v>
      </c>
      <c r="BW611" s="65">
        <f t="shared" si="3192"/>
        <v>50.1</v>
      </c>
      <c r="BX611" s="6"/>
      <c r="BY611" s="6"/>
      <c r="BZ611" s="6"/>
      <c r="CA611" s="6"/>
      <c r="CB611" s="6"/>
      <c r="CC611" s="6"/>
      <c r="CD611" s="6"/>
      <c r="CE611" s="6"/>
      <c r="CF611" s="6"/>
      <c r="CG611" s="6"/>
    </row>
    <row r="612" spans="1:85" ht="15.75" customHeight="1">
      <c r="A612" s="173" t="s">
        <v>720</v>
      </c>
      <c r="B612" s="121"/>
      <c r="C612" s="104" t="s">
        <v>123</v>
      </c>
      <c r="D612" s="174" t="s">
        <v>721</v>
      </c>
      <c r="E612" s="99">
        <v>0</v>
      </c>
      <c r="F612" s="99">
        <v>0</v>
      </c>
      <c r="G612" s="58">
        <f t="shared" si="3176"/>
        <v>0</v>
      </c>
      <c r="H612" s="99">
        <v>0</v>
      </c>
      <c r="I612" s="340">
        <f t="shared" si="3007"/>
        <v>0</v>
      </c>
      <c r="J612" s="59">
        <f t="shared" si="2705"/>
        <v>0</v>
      </c>
      <c r="K612" s="60">
        <v>400</v>
      </c>
      <c r="L612" s="266">
        <v>0</v>
      </c>
      <c r="M612" s="100">
        <v>0</v>
      </c>
      <c r="N612" s="60">
        <v>0</v>
      </c>
      <c r="O612" s="61">
        <f t="shared" ref="O612:Q612" si="3196">AA612+AD612+AG612+AJ612+AM612+AP612+AS612+AV612+AY612+BB612+BE612+BH612</f>
        <v>0</v>
      </c>
      <c r="P612" s="61">
        <f t="shared" si="3196"/>
        <v>0</v>
      </c>
      <c r="Q612" s="61">
        <f t="shared" si="3196"/>
        <v>0</v>
      </c>
      <c r="R612" s="61">
        <f t="shared" ref="R612:T612" si="3197">IF(BK612=0,SUM(AA612+AD612+AG612+AJ612+AM612+AP612+AS612+AV612+AY612+BB612+BE612+BH612),BK612)</f>
        <v>0</v>
      </c>
      <c r="S612" s="61">
        <f t="shared" si="3197"/>
        <v>0</v>
      </c>
      <c r="T612" s="61">
        <f t="shared" si="3197"/>
        <v>0</v>
      </c>
      <c r="U612" s="62">
        <f t="shared" si="3179"/>
        <v>400</v>
      </c>
      <c r="V612" s="63">
        <f t="shared" si="3180"/>
        <v>0</v>
      </c>
      <c r="W612" s="63">
        <f t="shared" si="3181"/>
        <v>0</v>
      </c>
      <c r="X612" s="64">
        <f t="shared" ref="X612:Y612" si="3198">IF(O612&gt;0,O612/K612,0)</f>
        <v>0</v>
      </c>
      <c r="Y612" s="64">
        <f t="shared" si="3198"/>
        <v>0</v>
      </c>
      <c r="Z612" s="64">
        <f t="shared" si="2708"/>
        <v>0</v>
      </c>
      <c r="AA612" s="65"/>
      <c r="AB612" s="65"/>
      <c r="AC612" s="65"/>
      <c r="AD612" s="65"/>
      <c r="AE612" s="66"/>
      <c r="AF612" s="66"/>
      <c r="AG612" s="66"/>
      <c r="AH612" s="66"/>
      <c r="AI612" s="65"/>
      <c r="AJ612" s="65"/>
      <c r="AK612" s="65"/>
      <c r="AL612" s="65"/>
      <c r="AM612" s="65"/>
      <c r="AN612" s="65"/>
      <c r="AO612" s="65"/>
      <c r="AP612" s="65"/>
      <c r="AQ612" s="65"/>
      <c r="AR612" s="65"/>
      <c r="AS612" s="65"/>
      <c r="AT612" s="65"/>
      <c r="AU612" s="65"/>
      <c r="AV612" s="65"/>
      <c r="AW612" s="65"/>
      <c r="AX612" s="65"/>
      <c r="AY612" s="65"/>
      <c r="AZ612" s="65"/>
      <c r="BA612" s="65"/>
      <c r="BB612" s="65"/>
      <c r="BC612" s="65"/>
      <c r="BD612" s="65"/>
      <c r="BE612" s="65"/>
      <c r="BF612" s="65"/>
      <c r="BG612" s="65"/>
      <c r="BH612" s="65"/>
      <c r="BI612" s="65"/>
      <c r="BJ612" s="65"/>
      <c r="BK612" s="65">
        <v>0</v>
      </c>
      <c r="BL612" s="65">
        <v>0</v>
      </c>
      <c r="BM612" s="65">
        <v>0</v>
      </c>
      <c r="BN612" s="65">
        <f t="shared" si="3183"/>
        <v>0</v>
      </c>
      <c r="BO612" s="67">
        <f t="shared" si="3184"/>
        <v>0</v>
      </c>
      <c r="BP612" s="65">
        <f t="shared" si="3185"/>
        <v>0</v>
      </c>
      <c r="BQ612" s="65">
        <f t="shared" si="3186"/>
        <v>400</v>
      </c>
      <c r="BR612" s="65">
        <f t="shared" si="3187"/>
        <v>0</v>
      </c>
      <c r="BS612" s="65">
        <f t="shared" si="3188"/>
        <v>400</v>
      </c>
      <c r="BT612" s="65">
        <f t="shared" si="3189"/>
        <v>0</v>
      </c>
      <c r="BU612" s="65">
        <f t="shared" si="3190"/>
        <v>0</v>
      </c>
      <c r="BV612" s="65">
        <f t="shared" si="3191"/>
        <v>400</v>
      </c>
      <c r="BW612" s="65">
        <f t="shared" si="3192"/>
        <v>400</v>
      </c>
      <c r="BX612" s="6"/>
      <c r="BY612" s="6"/>
      <c r="BZ612" s="6"/>
      <c r="CA612" s="6"/>
      <c r="CB612" s="6"/>
      <c r="CC612" s="6"/>
      <c r="CD612" s="6"/>
      <c r="CE612" s="6"/>
      <c r="CF612" s="6"/>
      <c r="CG612" s="6"/>
    </row>
    <row r="613" spans="1:85" ht="15.75" customHeight="1">
      <c r="A613" s="173" t="s">
        <v>722</v>
      </c>
      <c r="B613" s="121"/>
      <c r="C613" s="104" t="s">
        <v>123</v>
      </c>
      <c r="D613" s="174" t="s">
        <v>723</v>
      </c>
      <c r="E613" s="99">
        <v>0</v>
      </c>
      <c r="F613" s="99">
        <v>0</v>
      </c>
      <c r="G613" s="58">
        <f t="shared" si="3176"/>
        <v>0</v>
      </c>
      <c r="H613" s="99">
        <v>0</v>
      </c>
      <c r="I613" s="340">
        <f t="shared" si="3007"/>
        <v>0</v>
      </c>
      <c r="J613" s="59">
        <f t="shared" si="2705"/>
        <v>0</v>
      </c>
      <c r="K613" s="60">
        <v>747</v>
      </c>
      <c r="L613" s="266">
        <v>0</v>
      </c>
      <c r="M613" s="100">
        <v>0</v>
      </c>
      <c r="N613" s="60">
        <v>0</v>
      </c>
      <c r="O613" s="61">
        <f t="shared" ref="O613:Q613" si="3199">AA613+AD613+AG613+AJ613+AM613+AP613+AS613+AV613+AY613+BB613+BE613+BH613</f>
        <v>0</v>
      </c>
      <c r="P613" s="61">
        <f t="shared" si="3199"/>
        <v>0</v>
      </c>
      <c r="Q613" s="61">
        <f t="shared" si="3199"/>
        <v>0</v>
      </c>
      <c r="R613" s="61">
        <f t="shared" ref="R613:T613" si="3200">IF(BK613=0,SUM(AA613+AD613+AG613+AJ613+AM613+AP613+AS613+AV613+AY613+BB613+BE613+BH613),BK613)</f>
        <v>0</v>
      </c>
      <c r="S613" s="61">
        <f t="shared" si="3200"/>
        <v>0</v>
      </c>
      <c r="T613" s="61">
        <f t="shared" si="3200"/>
        <v>0</v>
      </c>
      <c r="U613" s="62">
        <f t="shared" si="3179"/>
        <v>747</v>
      </c>
      <c r="V613" s="63">
        <f t="shared" si="3180"/>
        <v>0</v>
      </c>
      <c r="W613" s="63">
        <f t="shared" si="3181"/>
        <v>0</v>
      </c>
      <c r="X613" s="64">
        <f t="shared" ref="X613:Y613" si="3201">IF(O613&gt;0,O613/K613,0)</f>
        <v>0</v>
      </c>
      <c r="Y613" s="64">
        <f t="shared" si="3201"/>
        <v>0</v>
      </c>
      <c r="Z613" s="64">
        <f t="shared" si="2708"/>
        <v>0</v>
      </c>
      <c r="AA613" s="65"/>
      <c r="AB613" s="65"/>
      <c r="AC613" s="65"/>
      <c r="AD613" s="65"/>
      <c r="AE613" s="66"/>
      <c r="AF613" s="66"/>
      <c r="AG613" s="66"/>
      <c r="AH613" s="66"/>
      <c r="AI613" s="65"/>
      <c r="AJ613" s="65"/>
      <c r="AK613" s="65"/>
      <c r="AL613" s="65"/>
      <c r="AM613" s="65"/>
      <c r="AN613" s="65"/>
      <c r="AO613" s="65"/>
      <c r="AP613" s="65"/>
      <c r="AQ613" s="65"/>
      <c r="AR613" s="65"/>
      <c r="AS613" s="65"/>
      <c r="AT613" s="65"/>
      <c r="AU613" s="65"/>
      <c r="AV613" s="65"/>
      <c r="AW613" s="65"/>
      <c r="AX613" s="65"/>
      <c r="AY613" s="65"/>
      <c r="AZ613" s="65"/>
      <c r="BA613" s="65"/>
      <c r="BB613" s="65"/>
      <c r="BC613" s="65"/>
      <c r="BD613" s="65"/>
      <c r="BE613" s="65"/>
      <c r="BF613" s="65"/>
      <c r="BG613" s="65"/>
      <c r="BH613" s="65"/>
      <c r="BI613" s="65"/>
      <c r="BJ613" s="65"/>
      <c r="BK613" s="65">
        <v>0</v>
      </c>
      <c r="BL613" s="65">
        <v>0</v>
      </c>
      <c r="BM613" s="65">
        <v>0</v>
      </c>
      <c r="BN613" s="65">
        <f t="shared" si="3183"/>
        <v>0</v>
      </c>
      <c r="BO613" s="67">
        <f t="shared" si="3184"/>
        <v>0</v>
      </c>
      <c r="BP613" s="65">
        <f t="shared" si="3185"/>
        <v>0</v>
      </c>
      <c r="BQ613" s="65">
        <f t="shared" si="3186"/>
        <v>747</v>
      </c>
      <c r="BR613" s="65">
        <f t="shared" si="3187"/>
        <v>0</v>
      </c>
      <c r="BS613" s="65">
        <f t="shared" si="3188"/>
        <v>747</v>
      </c>
      <c r="BT613" s="65">
        <f t="shared" si="3189"/>
        <v>0</v>
      </c>
      <c r="BU613" s="65">
        <f t="shared" si="3190"/>
        <v>0</v>
      </c>
      <c r="BV613" s="65">
        <f t="shared" si="3191"/>
        <v>747</v>
      </c>
      <c r="BW613" s="65">
        <f t="shared" si="3192"/>
        <v>747</v>
      </c>
      <c r="BX613" s="6"/>
      <c r="BY613" s="6"/>
      <c r="BZ613" s="6"/>
      <c r="CA613" s="6"/>
      <c r="CB613" s="6"/>
      <c r="CC613" s="6"/>
      <c r="CD613" s="6"/>
      <c r="CE613" s="6"/>
      <c r="CF613" s="6"/>
      <c r="CG613" s="6"/>
    </row>
    <row r="614" spans="1:85" ht="15.75" customHeight="1">
      <c r="A614" s="173" t="s">
        <v>724</v>
      </c>
      <c r="B614" s="121"/>
      <c r="C614" s="104" t="s">
        <v>123</v>
      </c>
      <c r="D614" s="174" t="s">
        <v>725</v>
      </c>
      <c r="E614" s="99">
        <v>0</v>
      </c>
      <c r="F614" s="99">
        <v>0</v>
      </c>
      <c r="G614" s="58">
        <f t="shared" si="3176"/>
        <v>0</v>
      </c>
      <c r="H614" s="99">
        <v>0</v>
      </c>
      <c r="I614" s="59">
        <f t="shared" si="3007"/>
        <v>0</v>
      </c>
      <c r="J614" s="59">
        <f t="shared" si="2705"/>
        <v>0</v>
      </c>
      <c r="K614" s="60">
        <v>117</v>
      </c>
      <c r="L614" s="266">
        <v>0</v>
      </c>
      <c r="M614" s="100">
        <v>0</v>
      </c>
      <c r="N614" s="60">
        <v>0</v>
      </c>
      <c r="O614" s="61">
        <f t="shared" ref="O614:Q614" si="3202">AA614+AD614+AG614+AJ614+AM614+AP614+AS614+AV614+AY614+BB614+BE614+BH614</f>
        <v>0</v>
      </c>
      <c r="P614" s="61">
        <f t="shared" si="3202"/>
        <v>0</v>
      </c>
      <c r="Q614" s="61">
        <f t="shared" si="3202"/>
        <v>0</v>
      </c>
      <c r="R614" s="61">
        <f t="shared" ref="R614:T614" si="3203">IF(BK614=0,SUM(AA614+AD614+AG614+AJ614+AM614+AP614+AS614+AV614+AY614+BB614+BE614+BH614),BK614)</f>
        <v>0</v>
      </c>
      <c r="S614" s="61">
        <f t="shared" si="3203"/>
        <v>0</v>
      </c>
      <c r="T614" s="61">
        <f t="shared" si="3203"/>
        <v>0</v>
      </c>
      <c r="U614" s="62">
        <f t="shared" si="3179"/>
        <v>117</v>
      </c>
      <c r="V614" s="63">
        <f t="shared" si="3180"/>
        <v>0</v>
      </c>
      <c r="W614" s="63">
        <f t="shared" si="3181"/>
        <v>0</v>
      </c>
      <c r="X614" s="64">
        <f t="shared" ref="X614:Y614" si="3204">IF(O614&gt;0,O614/K614,0)</f>
        <v>0</v>
      </c>
      <c r="Y614" s="64">
        <f t="shared" si="3204"/>
        <v>0</v>
      </c>
      <c r="Z614" s="64">
        <f t="shared" si="2708"/>
        <v>0</v>
      </c>
      <c r="AA614" s="65"/>
      <c r="AB614" s="65"/>
      <c r="AC614" s="65"/>
      <c r="AD614" s="65"/>
      <c r="AE614" s="66"/>
      <c r="AF614" s="66"/>
      <c r="AG614" s="66"/>
      <c r="AH614" s="66"/>
      <c r="AI614" s="65"/>
      <c r="AJ614" s="65"/>
      <c r="AK614" s="65"/>
      <c r="AL614" s="65"/>
      <c r="AM614" s="65"/>
      <c r="AN614" s="65"/>
      <c r="AO614" s="65"/>
      <c r="AP614" s="65"/>
      <c r="AQ614" s="65"/>
      <c r="AR614" s="65"/>
      <c r="AS614" s="65"/>
      <c r="AT614" s="65"/>
      <c r="AU614" s="65"/>
      <c r="AV614" s="65"/>
      <c r="AW614" s="65"/>
      <c r="AX614" s="65"/>
      <c r="AY614" s="65"/>
      <c r="AZ614" s="65"/>
      <c r="BA614" s="65"/>
      <c r="BB614" s="65"/>
      <c r="BC614" s="65"/>
      <c r="BD614" s="65"/>
      <c r="BE614" s="65"/>
      <c r="BF614" s="65"/>
      <c r="BG614" s="65"/>
      <c r="BH614" s="65"/>
      <c r="BI614" s="65"/>
      <c r="BJ614" s="65"/>
      <c r="BK614" s="65">
        <v>0</v>
      </c>
      <c r="BL614" s="65">
        <v>0</v>
      </c>
      <c r="BM614" s="65">
        <v>0</v>
      </c>
      <c r="BN614" s="65">
        <f t="shared" si="3183"/>
        <v>0</v>
      </c>
      <c r="BO614" s="67">
        <f t="shared" si="3184"/>
        <v>0</v>
      </c>
      <c r="BP614" s="65">
        <f t="shared" si="3185"/>
        <v>0</v>
      </c>
      <c r="BQ614" s="65">
        <f t="shared" si="3186"/>
        <v>117</v>
      </c>
      <c r="BR614" s="65">
        <f t="shared" si="3187"/>
        <v>0</v>
      </c>
      <c r="BS614" s="65">
        <f t="shared" si="3188"/>
        <v>117</v>
      </c>
      <c r="BT614" s="65">
        <f t="shared" si="3189"/>
        <v>0</v>
      </c>
      <c r="BU614" s="65">
        <f t="shared" si="3190"/>
        <v>0</v>
      </c>
      <c r="BV614" s="65">
        <f t="shared" si="3191"/>
        <v>117</v>
      </c>
      <c r="BW614" s="65">
        <f t="shared" si="3192"/>
        <v>117</v>
      </c>
      <c r="BX614" s="6"/>
      <c r="BY614" s="6"/>
      <c r="BZ614" s="6"/>
      <c r="CA614" s="6"/>
      <c r="CB614" s="6"/>
      <c r="CC614" s="6"/>
      <c r="CD614" s="6"/>
      <c r="CE614" s="6"/>
      <c r="CF614" s="6"/>
      <c r="CG614" s="6"/>
    </row>
    <row r="615" spans="1:85" ht="15.75">
      <c r="A615" s="75"/>
      <c r="B615" s="76"/>
      <c r="C615" s="77"/>
      <c r="D615" s="44" t="s">
        <v>168</v>
      </c>
      <c r="E615" s="45">
        <f t="shared" ref="E615:H615" si="3205">SUM(E616:E617)</f>
        <v>37000</v>
      </c>
      <c r="F615" s="45">
        <f t="shared" si="3205"/>
        <v>0</v>
      </c>
      <c r="G615" s="45">
        <f t="shared" si="3205"/>
        <v>37000</v>
      </c>
      <c r="H615" s="45">
        <f t="shared" si="3205"/>
        <v>0</v>
      </c>
      <c r="I615" s="47">
        <f t="shared" si="3007"/>
        <v>0.3016189189189189</v>
      </c>
      <c r="J615" s="47">
        <f t="shared" si="2705"/>
        <v>0.26756756756756755</v>
      </c>
      <c r="K615" s="45">
        <f t="shared" ref="K615:W615" si="3206">SUM(K616:K617)</f>
        <v>11159.9</v>
      </c>
      <c r="L615" s="45">
        <f t="shared" si="3206"/>
        <v>0</v>
      </c>
      <c r="M615" s="45">
        <f t="shared" si="3206"/>
        <v>0</v>
      </c>
      <c r="N615" s="45">
        <f t="shared" si="3206"/>
        <v>0</v>
      </c>
      <c r="O615" s="45">
        <f t="shared" si="3206"/>
        <v>9900</v>
      </c>
      <c r="P615" s="45">
        <f t="shared" si="3206"/>
        <v>0</v>
      </c>
      <c r="Q615" s="45">
        <f t="shared" si="3206"/>
        <v>0</v>
      </c>
      <c r="R615" s="45">
        <f t="shared" si="3206"/>
        <v>9900</v>
      </c>
      <c r="S615" s="45">
        <f t="shared" si="3206"/>
        <v>0</v>
      </c>
      <c r="T615" s="45">
        <f t="shared" si="3206"/>
        <v>0</v>
      </c>
      <c r="U615" s="45">
        <f t="shared" si="3206"/>
        <v>1259.8999999999996</v>
      </c>
      <c r="V615" s="45">
        <f t="shared" si="3206"/>
        <v>0</v>
      </c>
      <c r="W615" s="45">
        <f t="shared" si="3206"/>
        <v>0</v>
      </c>
      <c r="X615" s="50">
        <f t="shared" ref="X615:Y615" si="3207">IF(O615&gt;0,O615/K615,0)</f>
        <v>0.88710472316060185</v>
      </c>
      <c r="Y615" s="50">
        <f t="shared" si="3207"/>
        <v>0</v>
      </c>
      <c r="Z615" s="50">
        <f t="shared" si="2708"/>
        <v>0</v>
      </c>
      <c r="AA615" s="45">
        <f t="shared" ref="AA615:BW615" si="3208">SUM(AA616:AA617)</f>
        <v>0</v>
      </c>
      <c r="AB615" s="45">
        <f t="shared" si="3208"/>
        <v>0</v>
      </c>
      <c r="AC615" s="45">
        <f t="shared" si="3208"/>
        <v>0</v>
      </c>
      <c r="AD615" s="45">
        <f t="shared" si="3208"/>
        <v>0</v>
      </c>
      <c r="AE615" s="45">
        <f t="shared" si="3208"/>
        <v>0</v>
      </c>
      <c r="AF615" s="45">
        <f t="shared" si="3208"/>
        <v>0</v>
      </c>
      <c r="AG615" s="45">
        <f t="shared" si="3208"/>
        <v>0</v>
      </c>
      <c r="AH615" s="45">
        <f t="shared" si="3208"/>
        <v>0</v>
      </c>
      <c r="AI615" s="45">
        <f t="shared" si="3208"/>
        <v>0</v>
      </c>
      <c r="AJ615" s="45">
        <f t="shared" si="3208"/>
        <v>1320</v>
      </c>
      <c r="AK615" s="45">
        <f t="shared" si="3208"/>
        <v>0</v>
      </c>
      <c r="AL615" s="45">
        <f t="shared" si="3208"/>
        <v>0</v>
      </c>
      <c r="AM615" s="45">
        <f t="shared" si="3208"/>
        <v>5280</v>
      </c>
      <c r="AN615" s="45">
        <f t="shared" si="3208"/>
        <v>0</v>
      </c>
      <c r="AO615" s="45">
        <f t="shared" si="3208"/>
        <v>0</v>
      </c>
      <c r="AP615" s="45">
        <f t="shared" si="3208"/>
        <v>3300</v>
      </c>
      <c r="AQ615" s="45">
        <f t="shared" si="3208"/>
        <v>0</v>
      </c>
      <c r="AR615" s="45">
        <f t="shared" si="3208"/>
        <v>0</v>
      </c>
      <c r="AS615" s="45">
        <f t="shared" si="3208"/>
        <v>0</v>
      </c>
      <c r="AT615" s="45">
        <f t="shared" si="3208"/>
        <v>0</v>
      </c>
      <c r="AU615" s="45">
        <f t="shared" si="3208"/>
        <v>0</v>
      </c>
      <c r="AV615" s="45">
        <f t="shared" si="3208"/>
        <v>0</v>
      </c>
      <c r="AW615" s="45">
        <f t="shared" si="3208"/>
        <v>0</v>
      </c>
      <c r="AX615" s="45">
        <f t="shared" si="3208"/>
        <v>0</v>
      </c>
      <c r="AY615" s="45">
        <f t="shared" si="3208"/>
        <v>0</v>
      </c>
      <c r="AZ615" s="45">
        <f t="shared" si="3208"/>
        <v>0</v>
      </c>
      <c r="BA615" s="45">
        <f t="shared" si="3208"/>
        <v>0</v>
      </c>
      <c r="BB615" s="45">
        <f t="shared" si="3208"/>
        <v>0</v>
      </c>
      <c r="BC615" s="45">
        <f t="shared" si="3208"/>
        <v>0</v>
      </c>
      <c r="BD615" s="45">
        <f t="shared" si="3208"/>
        <v>0</v>
      </c>
      <c r="BE615" s="45">
        <f t="shared" si="3208"/>
        <v>0</v>
      </c>
      <c r="BF615" s="45">
        <f t="shared" si="3208"/>
        <v>0</v>
      </c>
      <c r="BG615" s="45">
        <f t="shared" si="3208"/>
        <v>0</v>
      </c>
      <c r="BH615" s="45">
        <f t="shared" si="3208"/>
        <v>0</v>
      </c>
      <c r="BI615" s="45">
        <f t="shared" si="3208"/>
        <v>0</v>
      </c>
      <c r="BJ615" s="45">
        <f t="shared" si="3208"/>
        <v>0</v>
      </c>
      <c r="BK615" s="45">
        <f t="shared" si="3208"/>
        <v>0</v>
      </c>
      <c r="BL615" s="45">
        <f t="shared" si="3208"/>
        <v>0</v>
      </c>
      <c r="BM615" s="45">
        <f t="shared" si="3208"/>
        <v>0</v>
      </c>
      <c r="BN615" s="45">
        <f t="shared" si="3208"/>
        <v>9900</v>
      </c>
      <c r="BO615" s="45">
        <f t="shared" si="3208"/>
        <v>0</v>
      </c>
      <c r="BP615" s="45">
        <f t="shared" si="3208"/>
        <v>9900</v>
      </c>
      <c r="BQ615" s="45">
        <f t="shared" si="3208"/>
        <v>1259.8999999999996</v>
      </c>
      <c r="BR615" s="45">
        <f t="shared" si="3208"/>
        <v>0</v>
      </c>
      <c r="BS615" s="45">
        <f t="shared" si="3208"/>
        <v>1259.8999999999996</v>
      </c>
      <c r="BT615" s="45">
        <f t="shared" si="3208"/>
        <v>0</v>
      </c>
      <c r="BU615" s="45">
        <f t="shared" si="3208"/>
        <v>9900</v>
      </c>
      <c r="BV615" s="45">
        <f t="shared" si="3208"/>
        <v>1259.8999999999996</v>
      </c>
      <c r="BW615" s="45">
        <f t="shared" si="3208"/>
        <v>11159.9</v>
      </c>
      <c r="BX615" s="51"/>
      <c r="BY615" s="51"/>
      <c r="BZ615" s="51"/>
      <c r="CA615" s="51"/>
      <c r="CB615" s="51"/>
      <c r="CC615" s="51"/>
      <c r="CD615" s="51"/>
      <c r="CE615" s="51"/>
      <c r="CF615" s="51"/>
      <c r="CG615" s="51"/>
    </row>
    <row r="616" spans="1:85" ht="15.75" customHeight="1">
      <c r="A616" s="52" t="s">
        <v>726</v>
      </c>
      <c r="B616" s="103"/>
      <c r="C616" s="68" t="s">
        <v>170</v>
      </c>
      <c r="D616" s="373" t="s">
        <v>727</v>
      </c>
      <c r="E616" s="56">
        <v>35000</v>
      </c>
      <c r="F616" s="99">
        <v>0</v>
      </c>
      <c r="G616" s="58">
        <f t="shared" ref="G616:G617" si="3209">E616-F616</f>
        <v>35000</v>
      </c>
      <c r="H616" s="99">
        <v>0</v>
      </c>
      <c r="I616" s="59">
        <f t="shared" si="3007"/>
        <v>0.3188542857142857</v>
      </c>
      <c r="J616" s="59">
        <f t="shared" si="2705"/>
        <v>0.28285714285714286</v>
      </c>
      <c r="K616" s="74">
        <f>11159.9</f>
        <v>11159.9</v>
      </c>
      <c r="L616" s="74">
        <v>0</v>
      </c>
      <c r="M616" s="74">
        <v>0</v>
      </c>
      <c r="N616" s="74">
        <v>0</v>
      </c>
      <c r="O616" s="63">
        <f t="shared" ref="O616:Q616" si="3210">AA616+AD616+AG616+AJ616+AM616+AP616+AS616+AV616+AY616+BB616+BE616+BH616</f>
        <v>9900</v>
      </c>
      <c r="P616" s="61">
        <f t="shared" si="3210"/>
        <v>0</v>
      </c>
      <c r="Q616" s="61">
        <f t="shared" si="3210"/>
        <v>0</v>
      </c>
      <c r="R616" s="61">
        <f t="shared" ref="R616:T616" si="3211">IF(BK616=0,SUM(AA616+AD616+AG616+AJ616+AM616+AP616+AS616+AV616+AY616+BB616+BE616+BH616),BK616)</f>
        <v>9900</v>
      </c>
      <c r="S616" s="61">
        <f t="shared" si="3211"/>
        <v>0</v>
      </c>
      <c r="T616" s="61">
        <f t="shared" si="3211"/>
        <v>0</v>
      </c>
      <c r="U616" s="62">
        <f t="shared" ref="U616:U617" si="3212">K616-O616</f>
        <v>1259.8999999999996</v>
      </c>
      <c r="V616" s="63">
        <f t="shared" ref="V616:V617" si="3213">L616-M616-S616</f>
        <v>0</v>
      </c>
      <c r="W616" s="63">
        <f t="shared" ref="W616:W617" si="3214">N616-Q616</f>
        <v>0</v>
      </c>
      <c r="X616" s="64">
        <f t="shared" ref="X616:Y616" si="3215">IF(O616&gt;0,O616/K616,0)</f>
        <v>0.88710472316060185</v>
      </c>
      <c r="Y616" s="64">
        <f t="shared" si="3215"/>
        <v>0</v>
      </c>
      <c r="Z616" s="64">
        <f t="shared" si="2708"/>
        <v>0</v>
      </c>
      <c r="AA616" s="65"/>
      <c r="AB616" s="65"/>
      <c r="AC616" s="65"/>
      <c r="AD616" s="65"/>
      <c r="AE616" s="66"/>
      <c r="AF616" s="66"/>
      <c r="AG616" s="66"/>
      <c r="AH616" s="66"/>
      <c r="AI616" s="65"/>
      <c r="AJ616" s="100">
        <v>1320</v>
      </c>
      <c r="AK616" s="65"/>
      <c r="AL616" s="65"/>
      <c r="AM616" s="65">
        <f>5280</f>
        <v>5280</v>
      </c>
      <c r="AN616" s="65"/>
      <c r="AO616" s="65"/>
      <c r="AP616" s="65">
        <f>3300</f>
        <v>3300</v>
      </c>
      <c r="AQ616" s="65"/>
      <c r="AR616" s="65"/>
      <c r="AS616" s="65"/>
      <c r="AT616" s="65"/>
      <c r="AU616" s="65"/>
      <c r="AV616" s="65"/>
      <c r="AW616" s="65"/>
      <c r="AX616" s="65"/>
      <c r="AY616" s="65"/>
      <c r="AZ616" s="65"/>
      <c r="BA616" s="65"/>
      <c r="BB616" s="65"/>
      <c r="BC616" s="65"/>
      <c r="BD616" s="65"/>
      <c r="BE616" s="65"/>
      <c r="BF616" s="65"/>
      <c r="BG616" s="65"/>
      <c r="BH616" s="65"/>
      <c r="BI616" s="65"/>
      <c r="BJ616" s="65"/>
      <c r="BK616" s="65">
        <v>0</v>
      </c>
      <c r="BL616" s="65">
        <v>0</v>
      </c>
      <c r="BM616" s="65">
        <v>0</v>
      </c>
      <c r="BN616" s="65">
        <f t="shared" ref="BN616:BN617" si="3216">IF(O616-BK616&gt;0,O616-BK616,0)</f>
        <v>9900</v>
      </c>
      <c r="BO616" s="67">
        <f t="shared" ref="BO616:BO617" si="3217">IF(Q616-BM616&gt;0,Q616-BM616,0)</f>
        <v>0</v>
      </c>
      <c r="BP616" s="65">
        <f t="shared" ref="BP616:BP617" si="3218">IF(BN616+BO616&gt;0,BN616+BO616,0)</f>
        <v>9900</v>
      </c>
      <c r="BQ616" s="65">
        <f t="shared" ref="BQ616:BQ617" si="3219">IF(U616=0,0,U616)</f>
        <v>1259.8999999999996</v>
      </c>
      <c r="BR616" s="65">
        <f t="shared" ref="BR616:BR617" si="3220">IF(W616=0,0,W616)</f>
        <v>0</v>
      </c>
      <c r="BS616" s="65">
        <f t="shared" ref="BS616:BS617" si="3221">IF(BQ616+BR616&gt;0,BQ616+BR616,0)</f>
        <v>1259.8999999999996</v>
      </c>
      <c r="BT616" s="65">
        <f t="shared" ref="BT616:BT617" si="3222">IF(V616&gt;0,V616,0)</f>
        <v>0</v>
      </c>
      <c r="BU616" s="65">
        <f t="shared" ref="BU616:BU617" si="3223">IF(BP616=0,0,BP616)</f>
        <v>9900</v>
      </c>
      <c r="BV616" s="65">
        <f t="shared" ref="BV616:BV617" si="3224">IF(BS616=0,0,BS616)</f>
        <v>1259.8999999999996</v>
      </c>
      <c r="BW616" s="65">
        <f t="shared" ref="BW616:BW617" si="3225">IF(BP616+BT616+BV616&gt;0,BP616+BT616+BV616,0)</f>
        <v>11159.9</v>
      </c>
      <c r="BX616" s="6"/>
      <c r="BY616" s="6"/>
      <c r="BZ616" s="6"/>
      <c r="CA616" s="6"/>
      <c r="CB616" s="6"/>
      <c r="CC616" s="6"/>
      <c r="CD616" s="6"/>
      <c r="CE616" s="6"/>
      <c r="CF616" s="6"/>
      <c r="CG616" s="6"/>
    </row>
    <row r="617" spans="1:85" ht="15.75" customHeight="1">
      <c r="A617" s="68"/>
      <c r="B617" s="103"/>
      <c r="C617" s="104" t="s">
        <v>454</v>
      </c>
      <c r="D617" s="193" t="s">
        <v>455</v>
      </c>
      <c r="E617" s="56">
        <v>2000</v>
      </c>
      <c r="F617" s="99">
        <v>0</v>
      </c>
      <c r="G617" s="58">
        <f t="shared" si="3209"/>
        <v>2000</v>
      </c>
      <c r="H617" s="99">
        <v>0</v>
      </c>
      <c r="I617" s="59">
        <f t="shared" si="3007"/>
        <v>0</v>
      </c>
      <c r="J617" s="59">
        <f t="shared" si="2705"/>
        <v>0</v>
      </c>
      <c r="K617" s="74">
        <v>0</v>
      </c>
      <c r="L617" s="74">
        <v>0</v>
      </c>
      <c r="M617" s="74">
        <v>0</v>
      </c>
      <c r="N617" s="74">
        <v>0</v>
      </c>
      <c r="O617" s="61">
        <f t="shared" ref="O617:Q617" si="3226">AA617+AD617+AG617+AJ617+AM617+AP617+AS617+AV617+AY617+BB617+BE617+BH617</f>
        <v>0</v>
      </c>
      <c r="P617" s="61">
        <f t="shared" si="3226"/>
        <v>0</v>
      </c>
      <c r="Q617" s="61">
        <f t="shared" si="3226"/>
        <v>0</v>
      </c>
      <c r="R617" s="61">
        <f t="shared" ref="R617:T617" si="3227">IF(BK617=0,SUM(AA617+AD617+AG617+AJ617+AM617+AP617+AS617+AV617+AY617+BB617+BE617+BH617),BK617)</f>
        <v>0</v>
      </c>
      <c r="S617" s="61">
        <f t="shared" si="3227"/>
        <v>0</v>
      </c>
      <c r="T617" s="61">
        <f t="shared" si="3227"/>
        <v>0</v>
      </c>
      <c r="U617" s="63">
        <f t="shared" si="3212"/>
        <v>0</v>
      </c>
      <c r="V617" s="63">
        <f t="shared" si="3213"/>
        <v>0</v>
      </c>
      <c r="W617" s="63">
        <f t="shared" si="3214"/>
        <v>0</v>
      </c>
      <c r="X617" s="64">
        <f t="shared" ref="X617:Y617" si="3228">IF(O617&gt;0,O617/K617,0)</f>
        <v>0</v>
      </c>
      <c r="Y617" s="64">
        <f t="shared" si="3228"/>
        <v>0</v>
      </c>
      <c r="Z617" s="64">
        <f t="shared" si="2708"/>
        <v>0</v>
      </c>
      <c r="AA617" s="65"/>
      <c r="AB617" s="65"/>
      <c r="AC617" s="65"/>
      <c r="AD617" s="65"/>
      <c r="AE617" s="66"/>
      <c r="AF617" s="66"/>
      <c r="AG617" s="66"/>
      <c r="AH617" s="66"/>
      <c r="AI617" s="65"/>
      <c r="AJ617" s="65"/>
      <c r="AK617" s="65"/>
      <c r="AL617" s="65"/>
      <c r="AM617" s="65"/>
      <c r="AN617" s="65"/>
      <c r="AO617" s="65"/>
      <c r="AP617" s="65"/>
      <c r="AQ617" s="65"/>
      <c r="AR617" s="65"/>
      <c r="AS617" s="65"/>
      <c r="AT617" s="65"/>
      <c r="AU617" s="65"/>
      <c r="AV617" s="65"/>
      <c r="AW617" s="65"/>
      <c r="AX617" s="65"/>
      <c r="AY617" s="65"/>
      <c r="AZ617" s="65"/>
      <c r="BA617" s="65"/>
      <c r="BB617" s="65"/>
      <c r="BC617" s="65"/>
      <c r="BD617" s="65"/>
      <c r="BE617" s="65"/>
      <c r="BF617" s="65"/>
      <c r="BG617" s="65"/>
      <c r="BH617" s="65"/>
      <c r="BI617" s="65"/>
      <c r="BJ617" s="65"/>
      <c r="BK617" s="65">
        <v>0</v>
      </c>
      <c r="BL617" s="65">
        <v>0</v>
      </c>
      <c r="BM617" s="65">
        <v>0</v>
      </c>
      <c r="BN617" s="65">
        <f t="shared" si="3216"/>
        <v>0</v>
      </c>
      <c r="BO617" s="67">
        <f t="shared" si="3217"/>
        <v>0</v>
      </c>
      <c r="BP617" s="65">
        <f t="shared" si="3218"/>
        <v>0</v>
      </c>
      <c r="BQ617" s="65">
        <f t="shared" si="3219"/>
        <v>0</v>
      </c>
      <c r="BR617" s="65">
        <f t="shared" si="3220"/>
        <v>0</v>
      </c>
      <c r="BS617" s="65">
        <f t="shared" si="3221"/>
        <v>0</v>
      </c>
      <c r="BT617" s="65">
        <f t="shared" si="3222"/>
        <v>0</v>
      </c>
      <c r="BU617" s="65">
        <f t="shared" si="3223"/>
        <v>0</v>
      </c>
      <c r="BV617" s="65">
        <f t="shared" si="3224"/>
        <v>0</v>
      </c>
      <c r="BW617" s="65">
        <f t="shared" si="3225"/>
        <v>0</v>
      </c>
      <c r="BX617" s="6"/>
      <c r="BY617" s="6"/>
      <c r="BZ617" s="6"/>
      <c r="CA617" s="6"/>
      <c r="CB617" s="6"/>
      <c r="CC617" s="6"/>
      <c r="CD617" s="6"/>
      <c r="CE617" s="6"/>
      <c r="CF617" s="6"/>
      <c r="CG617" s="6"/>
    </row>
    <row r="618" spans="1:85" ht="15.75">
      <c r="A618" s="75"/>
      <c r="B618" s="76"/>
      <c r="C618" s="77"/>
      <c r="D618" s="280" t="s">
        <v>728</v>
      </c>
      <c r="E618" s="45">
        <f t="shared" ref="E618:H618" si="3229">SUM(E619)</f>
        <v>0</v>
      </c>
      <c r="F618" s="45">
        <f t="shared" si="3229"/>
        <v>0</v>
      </c>
      <c r="G618" s="45">
        <f t="shared" si="3229"/>
        <v>0</v>
      </c>
      <c r="H618" s="45">
        <f t="shared" si="3229"/>
        <v>0</v>
      </c>
      <c r="I618" s="47">
        <f t="shared" si="3007"/>
        <v>0</v>
      </c>
      <c r="J618" s="47">
        <f t="shared" si="2705"/>
        <v>0</v>
      </c>
      <c r="K618" s="45">
        <f t="shared" ref="K618:W618" si="3230">SUM(K619)</f>
        <v>0</v>
      </c>
      <c r="L618" s="45">
        <f t="shared" si="3230"/>
        <v>0</v>
      </c>
      <c r="M618" s="45">
        <f t="shared" si="3230"/>
        <v>0</v>
      </c>
      <c r="N618" s="45">
        <f t="shared" si="3230"/>
        <v>13936.6</v>
      </c>
      <c r="O618" s="45">
        <f t="shared" si="3230"/>
        <v>0</v>
      </c>
      <c r="P618" s="45">
        <f t="shared" si="3230"/>
        <v>0</v>
      </c>
      <c r="Q618" s="45">
        <f t="shared" si="3230"/>
        <v>0</v>
      </c>
      <c r="R618" s="45">
        <f t="shared" si="3230"/>
        <v>0</v>
      </c>
      <c r="S618" s="45">
        <f t="shared" si="3230"/>
        <v>0</v>
      </c>
      <c r="T618" s="45">
        <f t="shared" si="3230"/>
        <v>0</v>
      </c>
      <c r="U618" s="45">
        <f t="shared" si="3230"/>
        <v>0</v>
      </c>
      <c r="V618" s="45">
        <f t="shared" si="3230"/>
        <v>0</v>
      </c>
      <c r="W618" s="45">
        <f t="shared" si="3230"/>
        <v>13936.6</v>
      </c>
      <c r="X618" s="50">
        <f t="shared" ref="X618:Y618" si="3231">IF(O618&gt;0,O618/K618,0)</f>
        <v>0</v>
      </c>
      <c r="Y618" s="50">
        <f t="shared" si="3231"/>
        <v>0</v>
      </c>
      <c r="Z618" s="50">
        <f t="shared" si="2708"/>
        <v>0</v>
      </c>
      <c r="AA618" s="45">
        <f t="shared" ref="AA618:BW618" si="3232">SUM(AA619)</f>
        <v>0</v>
      </c>
      <c r="AB618" s="45">
        <f t="shared" si="3232"/>
        <v>0</v>
      </c>
      <c r="AC618" s="45">
        <f t="shared" si="3232"/>
        <v>0</v>
      </c>
      <c r="AD618" s="45">
        <f t="shared" si="3232"/>
        <v>0</v>
      </c>
      <c r="AE618" s="45">
        <f t="shared" si="3232"/>
        <v>0</v>
      </c>
      <c r="AF618" s="45">
        <f t="shared" si="3232"/>
        <v>0</v>
      </c>
      <c r="AG618" s="45">
        <f t="shared" si="3232"/>
        <v>0</v>
      </c>
      <c r="AH618" s="45">
        <f t="shared" si="3232"/>
        <v>0</v>
      </c>
      <c r="AI618" s="45">
        <f t="shared" si="3232"/>
        <v>0</v>
      </c>
      <c r="AJ618" s="45">
        <f t="shared" si="3232"/>
        <v>0</v>
      </c>
      <c r="AK618" s="45">
        <f t="shared" si="3232"/>
        <v>0</v>
      </c>
      <c r="AL618" s="45">
        <f t="shared" si="3232"/>
        <v>0</v>
      </c>
      <c r="AM618" s="45">
        <f t="shared" si="3232"/>
        <v>0</v>
      </c>
      <c r="AN618" s="45">
        <f t="shared" si="3232"/>
        <v>0</v>
      </c>
      <c r="AO618" s="45">
        <f t="shared" si="3232"/>
        <v>0</v>
      </c>
      <c r="AP618" s="45">
        <f t="shared" si="3232"/>
        <v>0</v>
      </c>
      <c r="AQ618" s="45">
        <f t="shared" si="3232"/>
        <v>0</v>
      </c>
      <c r="AR618" s="45">
        <f t="shared" si="3232"/>
        <v>0</v>
      </c>
      <c r="AS618" s="45">
        <f t="shared" si="3232"/>
        <v>0</v>
      </c>
      <c r="AT618" s="45">
        <f t="shared" si="3232"/>
        <v>0</v>
      </c>
      <c r="AU618" s="45">
        <f t="shared" si="3232"/>
        <v>0</v>
      </c>
      <c r="AV618" s="45">
        <f t="shared" si="3232"/>
        <v>0</v>
      </c>
      <c r="AW618" s="45">
        <f t="shared" si="3232"/>
        <v>0</v>
      </c>
      <c r="AX618" s="45">
        <f t="shared" si="3232"/>
        <v>0</v>
      </c>
      <c r="AY618" s="45">
        <f t="shared" si="3232"/>
        <v>0</v>
      </c>
      <c r="AZ618" s="45">
        <f t="shared" si="3232"/>
        <v>0</v>
      </c>
      <c r="BA618" s="45">
        <f t="shared" si="3232"/>
        <v>0</v>
      </c>
      <c r="BB618" s="45">
        <f t="shared" si="3232"/>
        <v>0</v>
      </c>
      <c r="BC618" s="45">
        <f t="shared" si="3232"/>
        <v>0</v>
      </c>
      <c r="BD618" s="45">
        <f t="shared" si="3232"/>
        <v>0</v>
      </c>
      <c r="BE618" s="45">
        <f t="shared" si="3232"/>
        <v>0</v>
      </c>
      <c r="BF618" s="45">
        <f t="shared" si="3232"/>
        <v>0</v>
      </c>
      <c r="BG618" s="45">
        <f t="shared" si="3232"/>
        <v>0</v>
      </c>
      <c r="BH618" s="45">
        <f t="shared" si="3232"/>
        <v>0</v>
      </c>
      <c r="BI618" s="45">
        <f t="shared" si="3232"/>
        <v>0</v>
      </c>
      <c r="BJ618" s="45">
        <f t="shared" si="3232"/>
        <v>0</v>
      </c>
      <c r="BK618" s="45">
        <f t="shared" si="3232"/>
        <v>0</v>
      </c>
      <c r="BL618" s="45">
        <f t="shared" si="3232"/>
        <v>0</v>
      </c>
      <c r="BM618" s="45">
        <f t="shared" si="3232"/>
        <v>0</v>
      </c>
      <c r="BN618" s="45">
        <f t="shared" si="3232"/>
        <v>0</v>
      </c>
      <c r="BO618" s="45">
        <f t="shared" si="3232"/>
        <v>0</v>
      </c>
      <c r="BP618" s="45">
        <f t="shared" si="3232"/>
        <v>0</v>
      </c>
      <c r="BQ618" s="45">
        <f t="shared" si="3232"/>
        <v>0</v>
      </c>
      <c r="BR618" s="45">
        <f t="shared" si="3232"/>
        <v>13936.6</v>
      </c>
      <c r="BS618" s="45">
        <f t="shared" si="3232"/>
        <v>13936.6</v>
      </c>
      <c r="BT618" s="45">
        <f t="shared" si="3232"/>
        <v>0</v>
      </c>
      <c r="BU618" s="45">
        <f t="shared" si="3232"/>
        <v>0</v>
      </c>
      <c r="BV618" s="45">
        <f t="shared" si="3232"/>
        <v>13936.6</v>
      </c>
      <c r="BW618" s="45">
        <f t="shared" si="3232"/>
        <v>13936.6</v>
      </c>
      <c r="BX618" s="51"/>
      <c r="BY618" s="51"/>
      <c r="BZ618" s="51"/>
      <c r="CA618" s="51"/>
      <c r="CB618" s="51"/>
      <c r="CC618" s="51"/>
      <c r="CD618" s="51"/>
      <c r="CE618" s="51"/>
      <c r="CF618" s="51"/>
      <c r="CG618" s="51"/>
    </row>
    <row r="619" spans="1:85" ht="15.75">
      <c r="A619" s="217"/>
      <c r="B619" s="218"/>
      <c r="C619" s="219"/>
      <c r="D619" s="374" t="s">
        <v>729</v>
      </c>
      <c r="E619" s="213">
        <f t="shared" ref="E619:H619" si="3233">SUM(E620:E623)</f>
        <v>0</v>
      </c>
      <c r="F619" s="213">
        <f t="shared" si="3233"/>
        <v>0</v>
      </c>
      <c r="G619" s="213">
        <f t="shared" si="3233"/>
        <v>0</v>
      </c>
      <c r="H619" s="213">
        <f t="shared" si="3233"/>
        <v>0</v>
      </c>
      <c r="I619" s="215">
        <f t="shared" si="3007"/>
        <v>0</v>
      </c>
      <c r="J619" s="215">
        <f t="shared" si="2705"/>
        <v>0</v>
      </c>
      <c r="K619" s="213">
        <f t="shared" ref="K619:W619" si="3234">SUM(K620:K623)</f>
        <v>0</v>
      </c>
      <c r="L619" s="213">
        <f t="shared" si="3234"/>
        <v>0</v>
      </c>
      <c r="M619" s="213">
        <f t="shared" si="3234"/>
        <v>0</v>
      </c>
      <c r="N619" s="213">
        <f t="shared" si="3234"/>
        <v>13936.6</v>
      </c>
      <c r="O619" s="213">
        <f t="shared" si="3234"/>
        <v>0</v>
      </c>
      <c r="P619" s="213">
        <f t="shared" si="3234"/>
        <v>0</v>
      </c>
      <c r="Q619" s="213">
        <f t="shared" si="3234"/>
        <v>0</v>
      </c>
      <c r="R619" s="213">
        <f t="shared" si="3234"/>
        <v>0</v>
      </c>
      <c r="S619" s="213">
        <f t="shared" si="3234"/>
        <v>0</v>
      </c>
      <c r="T619" s="213">
        <f t="shared" si="3234"/>
        <v>0</v>
      </c>
      <c r="U619" s="213">
        <f t="shared" si="3234"/>
        <v>0</v>
      </c>
      <c r="V619" s="213">
        <f t="shared" si="3234"/>
        <v>0</v>
      </c>
      <c r="W619" s="213">
        <f t="shared" si="3234"/>
        <v>13936.6</v>
      </c>
      <c r="X619" s="216">
        <f t="shared" ref="X619:Y619" si="3235">IF(O619&gt;0,O619/K619,0)</f>
        <v>0</v>
      </c>
      <c r="Y619" s="216">
        <f t="shared" si="3235"/>
        <v>0</v>
      </c>
      <c r="Z619" s="216">
        <f t="shared" si="2708"/>
        <v>0</v>
      </c>
      <c r="AA619" s="213">
        <f t="shared" ref="AA619:AO619" si="3236">SUM(AA620+AA623)</f>
        <v>0</v>
      </c>
      <c r="AB619" s="213">
        <f t="shared" si="3236"/>
        <v>0</v>
      </c>
      <c r="AC619" s="213">
        <f t="shared" si="3236"/>
        <v>0</v>
      </c>
      <c r="AD619" s="213">
        <f t="shared" si="3236"/>
        <v>0</v>
      </c>
      <c r="AE619" s="213">
        <f t="shared" si="3236"/>
        <v>0</v>
      </c>
      <c r="AF619" s="213">
        <f t="shared" si="3236"/>
        <v>0</v>
      </c>
      <c r="AG619" s="213">
        <f t="shared" si="3236"/>
        <v>0</v>
      </c>
      <c r="AH619" s="213">
        <f t="shared" si="3236"/>
        <v>0</v>
      </c>
      <c r="AI619" s="213">
        <f t="shared" si="3236"/>
        <v>0</v>
      </c>
      <c r="AJ619" s="213">
        <f t="shared" si="3236"/>
        <v>0</v>
      </c>
      <c r="AK619" s="213">
        <f t="shared" si="3236"/>
        <v>0</v>
      </c>
      <c r="AL619" s="213">
        <f t="shared" si="3236"/>
        <v>0</v>
      </c>
      <c r="AM619" s="213">
        <f t="shared" si="3236"/>
        <v>0</v>
      </c>
      <c r="AN619" s="213">
        <f t="shared" si="3236"/>
        <v>0</v>
      </c>
      <c r="AO619" s="213">
        <f t="shared" si="3236"/>
        <v>0</v>
      </c>
      <c r="AP619" s="213">
        <f t="shared" ref="AP619:BW619" si="3237">SUM(AP620:AP623)</f>
        <v>0</v>
      </c>
      <c r="AQ619" s="213">
        <f t="shared" si="3237"/>
        <v>0</v>
      </c>
      <c r="AR619" s="213">
        <f t="shared" si="3237"/>
        <v>0</v>
      </c>
      <c r="AS619" s="213">
        <f t="shared" si="3237"/>
        <v>0</v>
      </c>
      <c r="AT619" s="213">
        <f t="shared" si="3237"/>
        <v>0</v>
      </c>
      <c r="AU619" s="213">
        <f t="shared" si="3237"/>
        <v>0</v>
      </c>
      <c r="AV619" s="213">
        <f t="shared" si="3237"/>
        <v>0</v>
      </c>
      <c r="AW619" s="213">
        <f t="shared" si="3237"/>
        <v>0</v>
      </c>
      <c r="AX619" s="213">
        <f t="shared" si="3237"/>
        <v>0</v>
      </c>
      <c r="AY619" s="213">
        <f t="shared" si="3237"/>
        <v>0</v>
      </c>
      <c r="AZ619" s="213">
        <f t="shared" si="3237"/>
        <v>0</v>
      </c>
      <c r="BA619" s="213">
        <f t="shared" si="3237"/>
        <v>0</v>
      </c>
      <c r="BB619" s="213">
        <f t="shared" si="3237"/>
        <v>0</v>
      </c>
      <c r="BC619" s="213">
        <f t="shared" si="3237"/>
        <v>0</v>
      </c>
      <c r="BD619" s="213">
        <f t="shared" si="3237"/>
        <v>0</v>
      </c>
      <c r="BE619" s="213">
        <f t="shared" si="3237"/>
        <v>0</v>
      </c>
      <c r="BF619" s="213">
        <f t="shared" si="3237"/>
        <v>0</v>
      </c>
      <c r="BG619" s="213">
        <f t="shared" si="3237"/>
        <v>0</v>
      </c>
      <c r="BH619" s="213">
        <f t="shared" si="3237"/>
        <v>0</v>
      </c>
      <c r="BI619" s="213">
        <f t="shared" si="3237"/>
        <v>0</v>
      </c>
      <c r="BJ619" s="213">
        <f t="shared" si="3237"/>
        <v>0</v>
      </c>
      <c r="BK619" s="213">
        <f t="shared" si="3237"/>
        <v>0</v>
      </c>
      <c r="BL619" s="213">
        <f t="shared" si="3237"/>
        <v>0</v>
      </c>
      <c r="BM619" s="213">
        <f t="shared" si="3237"/>
        <v>0</v>
      </c>
      <c r="BN619" s="213">
        <f t="shared" si="3237"/>
        <v>0</v>
      </c>
      <c r="BO619" s="213">
        <f t="shared" si="3237"/>
        <v>0</v>
      </c>
      <c r="BP619" s="213">
        <f t="shared" si="3237"/>
        <v>0</v>
      </c>
      <c r="BQ619" s="213">
        <f t="shared" si="3237"/>
        <v>0</v>
      </c>
      <c r="BR619" s="213">
        <f t="shared" si="3237"/>
        <v>13936.6</v>
      </c>
      <c r="BS619" s="213">
        <f t="shared" si="3237"/>
        <v>13936.6</v>
      </c>
      <c r="BT619" s="213">
        <f t="shared" si="3237"/>
        <v>0</v>
      </c>
      <c r="BU619" s="213">
        <f t="shared" si="3237"/>
        <v>0</v>
      </c>
      <c r="BV619" s="213">
        <f t="shared" si="3237"/>
        <v>13936.6</v>
      </c>
      <c r="BW619" s="213">
        <f t="shared" si="3237"/>
        <v>13936.6</v>
      </c>
      <c r="BX619" s="51"/>
      <c r="BY619" s="51"/>
      <c r="BZ619" s="51"/>
      <c r="CA619" s="51"/>
      <c r="CB619" s="51"/>
      <c r="CC619" s="51"/>
      <c r="CD619" s="51"/>
      <c r="CE619" s="51"/>
      <c r="CF619" s="51"/>
      <c r="CG619" s="51"/>
    </row>
    <row r="620" spans="1:85" ht="15.75" customHeight="1">
      <c r="A620" s="173" t="s">
        <v>730</v>
      </c>
      <c r="B620" s="121"/>
      <c r="C620" s="104" t="s">
        <v>731</v>
      </c>
      <c r="D620" s="174" t="s">
        <v>732</v>
      </c>
      <c r="E620" s="99">
        <v>0</v>
      </c>
      <c r="F620" s="99">
        <v>0</v>
      </c>
      <c r="G620" s="58">
        <f t="shared" ref="G620:G623" si="3238">E620-F620</f>
        <v>0</v>
      </c>
      <c r="H620" s="99">
        <v>0</v>
      </c>
      <c r="I620" s="340">
        <f t="shared" si="3007"/>
        <v>0</v>
      </c>
      <c r="J620" s="59">
        <f t="shared" si="2705"/>
        <v>0</v>
      </c>
      <c r="K620" s="60">
        <v>0</v>
      </c>
      <c r="L620" s="266">
        <v>0</v>
      </c>
      <c r="M620" s="100">
        <v>0</v>
      </c>
      <c r="N620" s="60">
        <v>100</v>
      </c>
      <c r="O620" s="61">
        <f t="shared" ref="O620:Q620" si="3239">AA620+AD620+AG620+AJ620+AM620+AP620+AS620+AV620+AY620+BB620+BE620+BH620</f>
        <v>0</v>
      </c>
      <c r="P620" s="61">
        <f t="shared" si="3239"/>
        <v>0</v>
      </c>
      <c r="Q620" s="61">
        <f t="shared" si="3239"/>
        <v>0</v>
      </c>
      <c r="R620" s="61">
        <f t="shared" ref="R620:T620" si="3240">IF(BK620=0,SUM(AA620+AD620+AG620+AJ620+AM620+AP620+AS620+AV620+AY620+BB620+BE620+BH620),BK620)</f>
        <v>0</v>
      </c>
      <c r="S620" s="61">
        <f t="shared" si="3240"/>
        <v>0</v>
      </c>
      <c r="T620" s="61">
        <f t="shared" si="3240"/>
        <v>0</v>
      </c>
      <c r="U620" s="62">
        <f t="shared" ref="U620:U623" si="3241">K620-O620</f>
        <v>0</v>
      </c>
      <c r="V620" s="63">
        <f t="shared" ref="V620:V623" si="3242">L620-M620-S620</f>
        <v>0</v>
      </c>
      <c r="W620" s="63">
        <f t="shared" ref="W620:W623" si="3243">N620-Q620</f>
        <v>100</v>
      </c>
      <c r="X620" s="64">
        <f t="shared" ref="X620:Y620" si="3244">IF(O620&gt;0,O620/K620,0)</f>
        <v>0</v>
      </c>
      <c r="Y620" s="64">
        <f t="shared" si="3244"/>
        <v>0</v>
      </c>
      <c r="Z620" s="64">
        <f t="shared" si="2708"/>
        <v>0</v>
      </c>
      <c r="AA620" s="65"/>
      <c r="AB620" s="65"/>
      <c r="AC620" s="65"/>
      <c r="AD620" s="65"/>
      <c r="AE620" s="66"/>
      <c r="AF620" s="66"/>
      <c r="AG620" s="66"/>
      <c r="AH620" s="66"/>
      <c r="AI620" s="65"/>
      <c r="AJ620" s="65"/>
      <c r="AK620" s="65"/>
      <c r="AL620" s="65"/>
      <c r="AM620" s="65"/>
      <c r="AN620" s="65"/>
      <c r="AO620" s="65"/>
      <c r="AP620" s="65"/>
      <c r="AQ620" s="65"/>
      <c r="AR620" s="65"/>
      <c r="AS620" s="65"/>
      <c r="AT620" s="65"/>
      <c r="AU620" s="65"/>
      <c r="AV620" s="65"/>
      <c r="AW620" s="65"/>
      <c r="AX620" s="65"/>
      <c r="AY620" s="65"/>
      <c r="AZ620" s="65"/>
      <c r="BA620" s="65"/>
      <c r="BB620" s="65"/>
      <c r="BC620" s="65"/>
      <c r="BD620" s="65"/>
      <c r="BE620" s="65"/>
      <c r="BF620" s="65"/>
      <c r="BG620" s="65"/>
      <c r="BH620" s="65"/>
      <c r="BI620" s="65"/>
      <c r="BJ620" s="65"/>
      <c r="BK620" s="65">
        <v>0</v>
      </c>
      <c r="BL620" s="65">
        <v>0</v>
      </c>
      <c r="BM620" s="65">
        <v>0</v>
      </c>
      <c r="BN620" s="65">
        <f t="shared" ref="BN620:BN623" si="3245">IF(O620-BK620&gt;0,O620-BK620,0)</f>
        <v>0</v>
      </c>
      <c r="BO620" s="67">
        <f t="shared" ref="BO620:BO623" si="3246">IF(Q620-BM620&gt;0,Q620-BM620,0)</f>
        <v>0</v>
      </c>
      <c r="BP620" s="65">
        <f t="shared" ref="BP620:BP623" si="3247">IF(BN620+BO620&gt;0,BN620+BO620,0)</f>
        <v>0</v>
      </c>
      <c r="BQ620" s="65">
        <f t="shared" ref="BQ620:BQ623" si="3248">IF(U620=0,0,U620)</f>
        <v>0</v>
      </c>
      <c r="BR620" s="65">
        <f t="shared" ref="BR620:BR623" si="3249">IF(W620=0,0,W620)</f>
        <v>100</v>
      </c>
      <c r="BS620" s="65">
        <f t="shared" ref="BS620:BS623" si="3250">IF(BQ620+BR620&gt;0,BQ620+BR620,0)</f>
        <v>100</v>
      </c>
      <c r="BT620" s="65">
        <f t="shared" ref="BT620:BT623" si="3251">IF(V620&gt;0,V620,0)</f>
        <v>0</v>
      </c>
      <c r="BU620" s="65">
        <f t="shared" ref="BU620:BU623" si="3252">IF(BP620=0,0,BP620)</f>
        <v>0</v>
      </c>
      <c r="BV620" s="65">
        <f t="shared" ref="BV620:BV623" si="3253">IF(BS620=0,0,BS620)</f>
        <v>100</v>
      </c>
      <c r="BW620" s="65">
        <f t="shared" ref="BW620:BW623" si="3254">IF(BP620+BT620+BV620&gt;0,BP620+BT620+BV620,0)</f>
        <v>100</v>
      </c>
      <c r="BX620" s="6"/>
      <c r="BY620" s="6"/>
      <c r="BZ620" s="6"/>
      <c r="CA620" s="6"/>
      <c r="CB620" s="6"/>
      <c r="CC620" s="6"/>
      <c r="CD620" s="6"/>
      <c r="CE620" s="6"/>
      <c r="CF620" s="6"/>
      <c r="CG620" s="6"/>
    </row>
    <row r="621" spans="1:85" ht="15.75" customHeight="1">
      <c r="A621" s="173" t="s">
        <v>733</v>
      </c>
      <c r="B621" s="121"/>
      <c r="C621" s="104" t="s">
        <v>731</v>
      </c>
      <c r="D621" s="174" t="s">
        <v>734</v>
      </c>
      <c r="E621" s="99">
        <v>0</v>
      </c>
      <c r="F621" s="99">
        <v>0</v>
      </c>
      <c r="G621" s="58">
        <f t="shared" si="3238"/>
        <v>0</v>
      </c>
      <c r="H621" s="99">
        <v>0</v>
      </c>
      <c r="I621" s="340">
        <f t="shared" si="3007"/>
        <v>0</v>
      </c>
      <c r="J621" s="59">
        <f t="shared" si="2705"/>
        <v>0</v>
      </c>
      <c r="K621" s="60">
        <v>0</v>
      </c>
      <c r="L621" s="266">
        <v>0</v>
      </c>
      <c r="M621" s="100">
        <v>0</v>
      </c>
      <c r="N621" s="60">
        <v>2920</v>
      </c>
      <c r="O621" s="61">
        <f t="shared" ref="O621:Q621" si="3255">AA621+AD621+AG621+AJ621+AM621+AP621+AS621+AV621+AY621+BB621+BE621+BH621</f>
        <v>0</v>
      </c>
      <c r="P621" s="61">
        <f t="shared" si="3255"/>
        <v>0</v>
      </c>
      <c r="Q621" s="61">
        <f t="shared" si="3255"/>
        <v>0</v>
      </c>
      <c r="R621" s="61">
        <f t="shared" ref="R621:T621" si="3256">IF(BK621=0,SUM(AA621+AD621+AG621+AJ621+AM621+AP621+AS621+AV621+AY621+BB621+BE621+BH621),BK621)</f>
        <v>0</v>
      </c>
      <c r="S621" s="61">
        <f t="shared" si="3256"/>
        <v>0</v>
      </c>
      <c r="T621" s="61">
        <f t="shared" si="3256"/>
        <v>0</v>
      </c>
      <c r="U621" s="62">
        <f t="shared" si="3241"/>
        <v>0</v>
      </c>
      <c r="V621" s="63">
        <f t="shared" si="3242"/>
        <v>0</v>
      </c>
      <c r="W621" s="63">
        <f t="shared" si="3243"/>
        <v>2920</v>
      </c>
      <c r="X621" s="64"/>
      <c r="Y621" s="64"/>
      <c r="Z621" s="64"/>
      <c r="AA621" s="65"/>
      <c r="AB621" s="65"/>
      <c r="AC621" s="65"/>
      <c r="AD621" s="65"/>
      <c r="AE621" s="66"/>
      <c r="AF621" s="66"/>
      <c r="AG621" s="66"/>
      <c r="AH621" s="66"/>
      <c r="AI621" s="65"/>
      <c r="AJ621" s="65"/>
      <c r="AK621" s="65"/>
      <c r="AL621" s="65"/>
      <c r="AM621" s="65"/>
      <c r="AN621" s="100"/>
      <c r="AO621" s="65"/>
      <c r="AP621" s="65"/>
      <c r="AQ621" s="65"/>
      <c r="AR621" s="65"/>
      <c r="AS621" s="65"/>
      <c r="AT621" s="65"/>
      <c r="AU621" s="65"/>
      <c r="AV621" s="65"/>
      <c r="AW621" s="65"/>
      <c r="AX621" s="65"/>
      <c r="AY621" s="65"/>
      <c r="AZ621" s="65"/>
      <c r="BA621" s="65"/>
      <c r="BB621" s="65"/>
      <c r="BC621" s="65"/>
      <c r="BD621" s="65"/>
      <c r="BE621" s="65"/>
      <c r="BF621" s="65"/>
      <c r="BG621" s="65"/>
      <c r="BH621" s="65"/>
      <c r="BI621" s="65"/>
      <c r="BJ621" s="65"/>
      <c r="BK621" s="65">
        <v>0</v>
      </c>
      <c r="BL621" s="65">
        <v>0</v>
      </c>
      <c r="BM621" s="65">
        <v>0</v>
      </c>
      <c r="BN621" s="65">
        <f t="shared" si="3245"/>
        <v>0</v>
      </c>
      <c r="BO621" s="67">
        <f t="shared" si="3246"/>
        <v>0</v>
      </c>
      <c r="BP621" s="65">
        <f t="shared" si="3247"/>
        <v>0</v>
      </c>
      <c r="BQ621" s="65">
        <f t="shared" si="3248"/>
        <v>0</v>
      </c>
      <c r="BR621" s="65">
        <f t="shared" si="3249"/>
        <v>2920</v>
      </c>
      <c r="BS621" s="65">
        <f t="shared" si="3250"/>
        <v>2920</v>
      </c>
      <c r="BT621" s="65">
        <f t="shared" si="3251"/>
        <v>0</v>
      </c>
      <c r="BU621" s="65">
        <f t="shared" si="3252"/>
        <v>0</v>
      </c>
      <c r="BV621" s="65">
        <f t="shared" si="3253"/>
        <v>2920</v>
      </c>
      <c r="BW621" s="65">
        <f t="shared" si="3254"/>
        <v>2920</v>
      </c>
      <c r="BX621" s="6"/>
      <c r="BY621" s="6"/>
      <c r="BZ621" s="6"/>
      <c r="CA621" s="6"/>
      <c r="CB621" s="6"/>
      <c r="CC621" s="6"/>
      <c r="CD621" s="6"/>
      <c r="CE621" s="6"/>
      <c r="CF621" s="6"/>
      <c r="CG621" s="6"/>
    </row>
    <row r="622" spans="1:85" ht="15.75" customHeight="1">
      <c r="A622" s="173" t="s">
        <v>735</v>
      </c>
      <c r="B622" s="121"/>
      <c r="C622" s="104" t="s">
        <v>731</v>
      </c>
      <c r="D622" s="174" t="s">
        <v>736</v>
      </c>
      <c r="E622" s="99">
        <v>0</v>
      </c>
      <c r="F622" s="99">
        <v>0</v>
      </c>
      <c r="G622" s="58">
        <f t="shared" si="3238"/>
        <v>0</v>
      </c>
      <c r="H622" s="99">
        <v>0</v>
      </c>
      <c r="I622" s="340">
        <f t="shared" si="3007"/>
        <v>0</v>
      </c>
      <c r="J622" s="59">
        <f t="shared" si="2705"/>
        <v>0</v>
      </c>
      <c r="K622" s="60">
        <v>0</v>
      </c>
      <c r="L622" s="266">
        <v>0</v>
      </c>
      <c r="M622" s="100">
        <v>0</v>
      </c>
      <c r="N622" s="60">
        <v>5488</v>
      </c>
      <c r="O622" s="61">
        <f t="shared" ref="O622:Q622" si="3257">AA622+AD622+AG622+AJ622+AM622+AP622+AS622+AV622+AY622+BB622+BE622+BH622</f>
        <v>0</v>
      </c>
      <c r="P622" s="61">
        <f t="shared" si="3257"/>
        <v>0</v>
      </c>
      <c r="Q622" s="61">
        <f t="shared" si="3257"/>
        <v>0</v>
      </c>
      <c r="R622" s="61">
        <f t="shared" ref="R622:T622" si="3258">IF(BK622=0,SUM(AA622+AD622+AG622+AJ622+AM622+AP622+AS622+AV622+AY622+BB622+BE622+BH622),BK622)</f>
        <v>0</v>
      </c>
      <c r="S622" s="61">
        <f t="shared" si="3258"/>
        <v>0</v>
      </c>
      <c r="T622" s="61">
        <f t="shared" si="3258"/>
        <v>0</v>
      </c>
      <c r="U622" s="62">
        <f t="shared" si="3241"/>
        <v>0</v>
      </c>
      <c r="V622" s="63">
        <f t="shared" si="3242"/>
        <v>0</v>
      </c>
      <c r="W622" s="63">
        <f t="shared" si="3243"/>
        <v>5488</v>
      </c>
      <c r="X622" s="64"/>
      <c r="Y622" s="64"/>
      <c r="Z622" s="64"/>
      <c r="AA622" s="65"/>
      <c r="AB622" s="65"/>
      <c r="AC622" s="65"/>
      <c r="AD622" s="65"/>
      <c r="AE622" s="66"/>
      <c r="AF622" s="66"/>
      <c r="AG622" s="66"/>
      <c r="AH622" s="66"/>
      <c r="AI622" s="65"/>
      <c r="AJ622" s="65"/>
      <c r="AK622" s="65"/>
      <c r="AL622" s="65"/>
      <c r="AM622" s="65"/>
      <c r="AN622" s="100"/>
      <c r="AO622" s="65"/>
      <c r="AP622" s="65"/>
      <c r="AQ622" s="65"/>
      <c r="AR622" s="65"/>
      <c r="AS622" s="65"/>
      <c r="AT622" s="65"/>
      <c r="AU622" s="65"/>
      <c r="AV622" s="65"/>
      <c r="AW622" s="65"/>
      <c r="AX622" s="65"/>
      <c r="AY622" s="65"/>
      <c r="AZ622" s="65"/>
      <c r="BA622" s="65"/>
      <c r="BB622" s="65"/>
      <c r="BC622" s="65"/>
      <c r="BD622" s="65"/>
      <c r="BE622" s="65"/>
      <c r="BF622" s="65"/>
      <c r="BG622" s="65"/>
      <c r="BH622" s="65"/>
      <c r="BI622" s="65"/>
      <c r="BJ622" s="65"/>
      <c r="BK622" s="65">
        <v>0</v>
      </c>
      <c r="BL622" s="65">
        <v>0</v>
      </c>
      <c r="BM622" s="65">
        <v>0</v>
      </c>
      <c r="BN622" s="65">
        <f t="shared" si="3245"/>
        <v>0</v>
      </c>
      <c r="BO622" s="67">
        <f t="shared" si="3246"/>
        <v>0</v>
      </c>
      <c r="BP622" s="65">
        <f t="shared" si="3247"/>
        <v>0</v>
      </c>
      <c r="BQ622" s="65">
        <f t="shared" si="3248"/>
        <v>0</v>
      </c>
      <c r="BR622" s="65">
        <f t="shared" si="3249"/>
        <v>5488</v>
      </c>
      <c r="BS622" s="65">
        <f t="shared" si="3250"/>
        <v>5488</v>
      </c>
      <c r="BT622" s="65">
        <f t="shared" si="3251"/>
        <v>0</v>
      </c>
      <c r="BU622" s="65">
        <f t="shared" si="3252"/>
        <v>0</v>
      </c>
      <c r="BV622" s="65">
        <f t="shared" si="3253"/>
        <v>5488</v>
      </c>
      <c r="BW622" s="65">
        <f t="shared" si="3254"/>
        <v>5488</v>
      </c>
      <c r="BX622" s="6"/>
      <c r="BY622" s="6"/>
      <c r="BZ622" s="6"/>
      <c r="CA622" s="6"/>
      <c r="CB622" s="6"/>
      <c r="CC622" s="6"/>
      <c r="CD622" s="6"/>
      <c r="CE622" s="6"/>
      <c r="CF622" s="6"/>
      <c r="CG622" s="6"/>
    </row>
    <row r="623" spans="1:85" ht="15.75" customHeight="1">
      <c r="A623" s="173" t="s">
        <v>737</v>
      </c>
      <c r="B623" s="121"/>
      <c r="C623" s="104" t="s">
        <v>731</v>
      </c>
      <c r="D623" s="174" t="s">
        <v>738</v>
      </c>
      <c r="E623" s="99">
        <v>0</v>
      </c>
      <c r="F623" s="99">
        <v>0</v>
      </c>
      <c r="G623" s="58">
        <f t="shared" si="3238"/>
        <v>0</v>
      </c>
      <c r="H623" s="99">
        <v>0</v>
      </c>
      <c r="I623" s="59">
        <f t="shared" si="3007"/>
        <v>0</v>
      </c>
      <c r="J623" s="59">
        <f t="shared" si="2705"/>
        <v>0</v>
      </c>
      <c r="K623" s="60">
        <v>0</v>
      </c>
      <c r="L623" s="266">
        <v>0</v>
      </c>
      <c r="M623" s="100">
        <v>0</v>
      </c>
      <c r="N623" s="60">
        <v>5428.6</v>
      </c>
      <c r="O623" s="61">
        <f t="shared" ref="O623:Q623" si="3259">AA623+AD623+AG623+AJ623+AM623+AP623+AS623+AV623+AY623+BB623+BE623+BH623</f>
        <v>0</v>
      </c>
      <c r="P623" s="61">
        <f t="shared" si="3259"/>
        <v>0</v>
      </c>
      <c r="Q623" s="61">
        <f t="shared" si="3259"/>
        <v>0</v>
      </c>
      <c r="R623" s="61">
        <f t="shared" ref="R623:T623" si="3260">IF(BK623=0,SUM(AA623+AD623+AG623+AJ623+AM623+AP623+AS623+AV623+AY623+BB623+BE623+BH623),BK623)</f>
        <v>0</v>
      </c>
      <c r="S623" s="61">
        <f t="shared" si="3260"/>
        <v>0</v>
      </c>
      <c r="T623" s="61">
        <f t="shared" si="3260"/>
        <v>0</v>
      </c>
      <c r="U623" s="62">
        <f t="shared" si="3241"/>
        <v>0</v>
      </c>
      <c r="V623" s="63">
        <f t="shared" si="3242"/>
        <v>0</v>
      </c>
      <c r="W623" s="63">
        <f t="shared" si="3243"/>
        <v>5428.6</v>
      </c>
      <c r="X623" s="64">
        <f t="shared" ref="X623:Y623" si="3261">IF(O623&gt;0,O623/K623,0)</f>
        <v>0</v>
      </c>
      <c r="Y623" s="64">
        <f t="shared" si="3261"/>
        <v>0</v>
      </c>
      <c r="Z623" s="64">
        <f t="shared" ref="Z623:Z683" si="3262">IF(Q623&gt;0,Q623/N623,0)</f>
        <v>0</v>
      </c>
      <c r="AA623" s="65"/>
      <c r="AB623" s="65"/>
      <c r="AC623" s="65"/>
      <c r="AD623" s="65"/>
      <c r="AE623" s="66"/>
      <c r="AF623" s="66"/>
      <c r="AG623" s="66"/>
      <c r="AH623" s="66"/>
      <c r="AI623" s="65"/>
      <c r="AJ623" s="65"/>
      <c r="AK623" s="65"/>
      <c r="AL623" s="65"/>
      <c r="AM623" s="65"/>
      <c r="AN623" s="100"/>
      <c r="AO623" s="65"/>
      <c r="AP623" s="65"/>
      <c r="AQ623" s="65"/>
      <c r="AR623" s="65"/>
      <c r="AS623" s="65"/>
      <c r="AT623" s="65"/>
      <c r="AU623" s="65"/>
      <c r="AV623" s="65"/>
      <c r="AW623" s="65"/>
      <c r="AX623" s="65"/>
      <c r="AY623" s="65"/>
      <c r="AZ623" s="65"/>
      <c r="BA623" s="65"/>
      <c r="BB623" s="65"/>
      <c r="BC623" s="65"/>
      <c r="BD623" s="65"/>
      <c r="BE623" s="65"/>
      <c r="BF623" s="65"/>
      <c r="BG623" s="65"/>
      <c r="BH623" s="65"/>
      <c r="BI623" s="65"/>
      <c r="BJ623" s="65"/>
      <c r="BK623" s="65">
        <v>0</v>
      </c>
      <c r="BL623" s="65">
        <v>0</v>
      </c>
      <c r="BM623" s="65">
        <v>0</v>
      </c>
      <c r="BN623" s="65">
        <f t="shared" si="3245"/>
        <v>0</v>
      </c>
      <c r="BO623" s="67">
        <f t="shared" si="3246"/>
        <v>0</v>
      </c>
      <c r="BP623" s="65">
        <f t="shared" si="3247"/>
        <v>0</v>
      </c>
      <c r="BQ623" s="65">
        <f t="shared" si="3248"/>
        <v>0</v>
      </c>
      <c r="BR623" s="65">
        <f t="shared" si="3249"/>
        <v>5428.6</v>
      </c>
      <c r="BS623" s="65">
        <f t="shared" si="3250"/>
        <v>5428.6</v>
      </c>
      <c r="BT623" s="65">
        <f t="shared" si="3251"/>
        <v>0</v>
      </c>
      <c r="BU623" s="65">
        <f t="shared" si="3252"/>
        <v>0</v>
      </c>
      <c r="BV623" s="65">
        <f t="shared" si="3253"/>
        <v>5428.6</v>
      </c>
      <c r="BW623" s="65">
        <f t="shared" si="3254"/>
        <v>5428.6</v>
      </c>
      <c r="BX623" s="6"/>
      <c r="BY623" s="6"/>
      <c r="BZ623" s="6"/>
      <c r="CA623" s="6"/>
      <c r="CB623" s="6"/>
      <c r="CC623" s="6"/>
      <c r="CD623" s="6"/>
      <c r="CE623" s="6"/>
      <c r="CF623" s="6"/>
      <c r="CG623" s="6"/>
    </row>
    <row r="624" spans="1:85" ht="15.75" customHeight="1">
      <c r="A624" s="34"/>
      <c r="B624" s="35"/>
      <c r="C624" s="36"/>
      <c r="D624" s="37" t="s">
        <v>79</v>
      </c>
      <c r="E624" s="38">
        <f t="shared" ref="E624:H624" si="3263">E625+E627</f>
        <v>0</v>
      </c>
      <c r="F624" s="38">
        <f t="shared" si="3263"/>
        <v>0</v>
      </c>
      <c r="G624" s="38">
        <f t="shared" si="3263"/>
        <v>0</v>
      </c>
      <c r="H624" s="38">
        <f t="shared" si="3263"/>
        <v>220000</v>
      </c>
      <c r="I624" s="39">
        <f t="shared" si="3007"/>
        <v>0</v>
      </c>
      <c r="J624" s="39">
        <f t="shared" si="2705"/>
        <v>0</v>
      </c>
      <c r="K624" s="38">
        <f t="shared" ref="K624:W624" si="3264">K625+K627</f>
        <v>0</v>
      </c>
      <c r="L624" s="38">
        <f t="shared" si="3264"/>
        <v>0</v>
      </c>
      <c r="M624" s="38">
        <f t="shared" si="3264"/>
        <v>0</v>
      </c>
      <c r="N624" s="38">
        <f t="shared" si="3264"/>
        <v>0</v>
      </c>
      <c r="O624" s="38">
        <f t="shared" si="3264"/>
        <v>0</v>
      </c>
      <c r="P624" s="38">
        <f t="shared" si="3264"/>
        <v>0</v>
      </c>
      <c r="Q624" s="38">
        <f t="shared" si="3264"/>
        <v>0</v>
      </c>
      <c r="R624" s="38">
        <f t="shared" si="3264"/>
        <v>0</v>
      </c>
      <c r="S624" s="38">
        <f t="shared" si="3264"/>
        <v>0</v>
      </c>
      <c r="T624" s="38">
        <f t="shared" si="3264"/>
        <v>0</v>
      </c>
      <c r="U624" s="38">
        <f t="shared" si="3264"/>
        <v>0</v>
      </c>
      <c r="V624" s="38">
        <f t="shared" si="3264"/>
        <v>0</v>
      </c>
      <c r="W624" s="38">
        <f t="shared" si="3264"/>
        <v>0</v>
      </c>
      <c r="X624" s="40">
        <f t="shared" ref="X624:Y624" si="3265">IF(O624&gt;0,O624/K624,0)</f>
        <v>0</v>
      </c>
      <c r="Y624" s="40">
        <f t="shared" si="3265"/>
        <v>0</v>
      </c>
      <c r="Z624" s="40">
        <f t="shared" si="3262"/>
        <v>0</v>
      </c>
      <c r="AA624" s="38">
        <f t="shared" ref="AA624:BW624" si="3266">AA625+AA627</f>
        <v>0</v>
      </c>
      <c r="AB624" s="38">
        <f t="shared" si="3266"/>
        <v>0</v>
      </c>
      <c r="AC624" s="38">
        <f t="shared" si="3266"/>
        <v>0</v>
      </c>
      <c r="AD624" s="38">
        <f t="shared" si="3266"/>
        <v>0</v>
      </c>
      <c r="AE624" s="38">
        <f t="shared" si="3266"/>
        <v>0</v>
      </c>
      <c r="AF624" s="38">
        <f t="shared" si="3266"/>
        <v>0</v>
      </c>
      <c r="AG624" s="38">
        <f t="shared" si="3266"/>
        <v>0</v>
      </c>
      <c r="AH624" s="38">
        <f t="shared" si="3266"/>
        <v>0</v>
      </c>
      <c r="AI624" s="38">
        <f t="shared" si="3266"/>
        <v>0</v>
      </c>
      <c r="AJ624" s="38">
        <f t="shared" si="3266"/>
        <v>0</v>
      </c>
      <c r="AK624" s="38">
        <f t="shared" si="3266"/>
        <v>0</v>
      </c>
      <c r="AL624" s="38">
        <f t="shared" si="3266"/>
        <v>0</v>
      </c>
      <c r="AM624" s="38">
        <f t="shared" si="3266"/>
        <v>0</v>
      </c>
      <c r="AN624" s="38">
        <f t="shared" si="3266"/>
        <v>0</v>
      </c>
      <c r="AO624" s="38">
        <f t="shared" si="3266"/>
        <v>0</v>
      </c>
      <c r="AP624" s="38">
        <f t="shared" si="3266"/>
        <v>0</v>
      </c>
      <c r="AQ624" s="38">
        <f t="shared" si="3266"/>
        <v>0</v>
      </c>
      <c r="AR624" s="38">
        <f t="shared" si="3266"/>
        <v>0</v>
      </c>
      <c r="AS624" s="38">
        <f t="shared" si="3266"/>
        <v>0</v>
      </c>
      <c r="AT624" s="38">
        <f t="shared" si="3266"/>
        <v>0</v>
      </c>
      <c r="AU624" s="38">
        <f t="shared" si="3266"/>
        <v>0</v>
      </c>
      <c r="AV624" s="38">
        <f t="shared" si="3266"/>
        <v>0</v>
      </c>
      <c r="AW624" s="38">
        <f t="shared" si="3266"/>
        <v>0</v>
      </c>
      <c r="AX624" s="38">
        <f t="shared" si="3266"/>
        <v>0</v>
      </c>
      <c r="AY624" s="38">
        <f t="shared" si="3266"/>
        <v>0</v>
      </c>
      <c r="AZ624" s="38">
        <f t="shared" si="3266"/>
        <v>0</v>
      </c>
      <c r="BA624" s="38">
        <f t="shared" si="3266"/>
        <v>0</v>
      </c>
      <c r="BB624" s="38">
        <f t="shared" si="3266"/>
        <v>0</v>
      </c>
      <c r="BC624" s="38">
        <f t="shared" si="3266"/>
        <v>0</v>
      </c>
      <c r="BD624" s="38">
        <f t="shared" si="3266"/>
        <v>0</v>
      </c>
      <c r="BE624" s="38">
        <f t="shared" si="3266"/>
        <v>0</v>
      </c>
      <c r="BF624" s="38">
        <f t="shared" si="3266"/>
        <v>0</v>
      </c>
      <c r="BG624" s="38">
        <f t="shared" si="3266"/>
        <v>0</v>
      </c>
      <c r="BH624" s="38">
        <f t="shared" si="3266"/>
        <v>0</v>
      </c>
      <c r="BI624" s="38">
        <f t="shared" si="3266"/>
        <v>0</v>
      </c>
      <c r="BJ624" s="38">
        <f t="shared" si="3266"/>
        <v>0</v>
      </c>
      <c r="BK624" s="38">
        <f t="shared" si="3266"/>
        <v>0</v>
      </c>
      <c r="BL624" s="38">
        <f t="shared" si="3266"/>
        <v>0</v>
      </c>
      <c r="BM624" s="38">
        <f t="shared" si="3266"/>
        <v>0</v>
      </c>
      <c r="BN624" s="38">
        <f t="shared" si="3266"/>
        <v>0</v>
      </c>
      <c r="BO624" s="38">
        <f t="shared" si="3266"/>
        <v>0</v>
      </c>
      <c r="BP624" s="38">
        <f t="shared" si="3266"/>
        <v>0</v>
      </c>
      <c r="BQ624" s="38">
        <f t="shared" si="3266"/>
        <v>0</v>
      </c>
      <c r="BR624" s="38">
        <f t="shared" si="3266"/>
        <v>0</v>
      </c>
      <c r="BS624" s="38">
        <f t="shared" si="3266"/>
        <v>0</v>
      </c>
      <c r="BT624" s="38">
        <f t="shared" si="3266"/>
        <v>0</v>
      </c>
      <c r="BU624" s="38">
        <f t="shared" si="3266"/>
        <v>0</v>
      </c>
      <c r="BV624" s="38">
        <f t="shared" si="3266"/>
        <v>0</v>
      </c>
      <c r="BW624" s="38">
        <f t="shared" si="3266"/>
        <v>0</v>
      </c>
      <c r="BX624" s="6"/>
      <c r="BY624" s="6"/>
      <c r="BZ624" s="6"/>
      <c r="CA624" s="6"/>
      <c r="CB624" s="6"/>
      <c r="CC624" s="6"/>
      <c r="CD624" s="6"/>
      <c r="CE624" s="6"/>
      <c r="CF624" s="6"/>
      <c r="CG624" s="6"/>
    </row>
    <row r="625" spans="1:85" ht="15.75">
      <c r="A625" s="75"/>
      <c r="B625" s="76"/>
      <c r="C625" s="77"/>
      <c r="D625" s="78" t="s">
        <v>83</v>
      </c>
      <c r="E625" s="45">
        <f t="shared" ref="E625:H625" si="3267">SUM(E626)</f>
        <v>0</v>
      </c>
      <c r="F625" s="45">
        <f t="shared" si="3267"/>
        <v>0</v>
      </c>
      <c r="G625" s="45">
        <f t="shared" si="3267"/>
        <v>0</v>
      </c>
      <c r="H625" s="45">
        <f t="shared" si="3267"/>
        <v>20000</v>
      </c>
      <c r="I625" s="47">
        <f t="shared" si="3007"/>
        <v>0</v>
      </c>
      <c r="J625" s="47">
        <f t="shared" si="2705"/>
        <v>0</v>
      </c>
      <c r="K625" s="45">
        <f t="shared" ref="K625:W625" si="3268">SUM(K626)</f>
        <v>0</v>
      </c>
      <c r="L625" s="45">
        <f t="shared" si="3268"/>
        <v>0</v>
      </c>
      <c r="M625" s="45">
        <f t="shared" si="3268"/>
        <v>0</v>
      </c>
      <c r="N625" s="45">
        <f t="shared" si="3268"/>
        <v>0</v>
      </c>
      <c r="O625" s="45">
        <f t="shared" si="3268"/>
        <v>0</v>
      </c>
      <c r="P625" s="45">
        <f t="shared" si="3268"/>
        <v>0</v>
      </c>
      <c r="Q625" s="45">
        <f t="shared" si="3268"/>
        <v>0</v>
      </c>
      <c r="R625" s="45">
        <f t="shared" si="3268"/>
        <v>0</v>
      </c>
      <c r="S625" s="45">
        <f t="shared" si="3268"/>
        <v>0</v>
      </c>
      <c r="T625" s="45">
        <f t="shared" si="3268"/>
        <v>0</v>
      </c>
      <c r="U625" s="45">
        <f t="shared" si="3268"/>
        <v>0</v>
      </c>
      <c r="V625" s="45">
        <f t="shared" si="3268"/>
        <v>0</v>
      </c>
      <c r="W625" s="45">
        <f t="shared" si="3268"/>
        <v>0</v>
      </c>
      <c r="X625" s="50">
        <f t="shared" ref="X625:Y625" si="3269">IF(O625&gt;0,O625/K625,0)</f>
        <v>0</v>
      </c>
      <c r="Y625" s="50">
        <f t="shared" si="3269"/>
        <v>0</v>
      </c>
      <c r="Z625" s="50">
        <f t="shared" si="3262"/>
        <v>0</v>
      </c>
      <c r="AA625" s="45">
        <f t="shared" ref="AA625:BW625" si="3270">SUM(AA626)</f>
        <v>0</v>
      </c>
      <c r="AB625" s="45">
        <f t="shared" si="3270"/>
        <v>0</v>
      </c>
      <c r="AC625" s="45">
        <f t="shared" si="3270"/>
        <v>0</v>
      </c>
      <c r="AD625" s="45">
        <f t="shared" si="3270"/>
        <v>0</v>
      </c>
      <c r="AE625" s="45">
        <f t="shared" si="3270"/>
        <v>0</v>
      </c>
      <c r="AF625" s="45">
        <f t="shared" si="3270"/>
        <v>0</v>
      </c>
      <c r="AG625" s="45">
        <f t="shared" si="3270"/>
        <v>0</v>
      </c>
      <c r="AH625" s="45">
        <f t="shared" si="3270"/>
        <v>0</v>
      </c>
      <c r="AI625" s="45">
        <f t="shared" si="3270"/>
        <v>0</v>
      </c>
      <c r="AJ625" s="45">
        <f t="shared" si="3270"/>
        <v>0</v>
      </c>
      <c r="AK625" s="45">
        <f t="shared" si="3270"/>
        <v>0</v>
      </c>
      <c r="AL625" s="45">
        <f t="shared" si="3270"/>
        <v>0</v>
      </c>
      <c r="AM625" s="45">
        <f t="shared" si="3270"/>
        <v>0</v>
      </c>
      <c r="AN625" s="45">
        <f t="shared" si="3270"/>
        <v>0</v>
      </c>
      <c r="AO625" s="45">
        <f t="shared" si="3270"/>
        <v>0</v>
      </c>
      <c r="AP625" s="45">
        <f t="shared" si="3270"/>
        <v>0</v>
      </c>
      <c r="AQ625" s="45">
        <f t="shared" si="3270"/>
        <v>0</v>
      </c>
      <c r="AR625" s="45">
        <f t="shared" si="3270"/>
        <v>0</v>
      </c>
      <c r="AS625" s="45">
        <f t="shared" si="3270"/>
        <v>0</v>
      </c>
      <c r="AT625" s="45">
        <f t="shared" si="3270"/>
        <v>0</v>
      </c>
      <c r="AU625" s="45">
        <f t="shared" si="3270"/>
        <v>0</v>
      </c>
      <c r="AV625" s="45">
        <f t="shared" si="3270"/>
        <v>0</v>
      </c>
      <c r="AW625" s="45">
        <f t="shared" si="3270"/>
        <v>0</v>
      </c>
      <c r="AX625" s="45">
        <f t="shared" si="3270"/>
        <v>0</v>
      </c>
      <c r="AY625" s="45">
        <f t="shared" si="3270"/>
        <v>0</v>
      </c>
      <c r="AZ625" s="45">
        <f t="shared" si="3270"/>
        <v>0</v>
      </c>
      <c r="BA625" s="45">
        <f t="shared" si="3270"/>
        <v>0</v>
      </c>
      <c r="BB625" s="45">
        <f t="shared" si="3270"/>
        <v>0</v>
      </c>
      <c r="BC625" s="45">
        <f t="shared" si="3270"/>
        <v>0</v>
      </c>
      <c r="BD625" s="45">
        <f t="shared" si="3270"/>
        <v>0</v>
      </c>
      <c r="BE625" s="45">
        <f t="shared" si="3270"/>
        <v>0</v>
      </c>
      <c r="BF625" s="45">
        <f t="shared" si="3270"/>
        <v>0</v>
      </c>
      <c r="BG625" s="45">
        <f t="shared" si="3270"/>
        <v>0</v>
      </c>
      <c r="BH625" s="45">
        <f t="shared" si="3270"/>
        <v>0</v>
      </c>
      <c r="BI625" s="45">
        <f t="shared" si="3270"/>
        <v>0</v>
      </c>
      <c r="BJ625" s="45">
        <f t="shared" si="3270"/>
        <v>0</v>
      </c>
      <c r="BK625" s="45">
        <f t="shared" si="3270"/>
        <v>0</v>
      </c>
      <c r="BL625" s="45">
        <f t="shared" si="3270"/>
        <v>0</v>
      </c>
      <c r="BM625" s="45">
        <f t="shared" si="3270"/>
        <v>0</v>
      </c>
      <c r="BN625" s="45">
        <f t="shared" si="3270"/>
        <v>0</v>
      </c>
      <c r="BO625" s="45">
        <f t="shared" si="3270"/>
        <v>0</v>
      </c>
      <c r="BP625" s="45">
        <f t="shared" si="3270"/>
        <v>0</v>
      </c>
      <c r="BQ625" s="45">
        <f t="shared" si="3270"/>
        <v>0</v>
      </c>
      <c r="BR625" s="45">
        <f t="shared" si="3270"/>
        <v>0</v>
      </c>
      <c r="BS625" s="45">
        <f t="shared" si="3270"/>
        <v>0</v>
      </c>
      <c r="BT625" s="45">
        <f t="shared" si="3270"/>
        <v>0</v>
      </c>
      <c r="BU625" s="45">
        <f t="shared" si="3270"/>
        <v>0</v>
      </c>
      <c r="BV625" s="45">
        <f t="shared" si="3270"/>
        <v>0</v>
      </c>
      <c r="BW625" s="45">
        <f t="shared" si="3270"/>
        <v>0</v>
      </c>
      <c r="BX625" s="51"/>
      <c r="BY625" s="51"/>
      <c r="BZ625" s="51"/>
      <c r="CA625" s="51"/>
      <c r="CB625" s="51"/>
      <c r="CC625" s="51"/>
      <c r="CD625" s="51"/>
      <c r="CE625" s="51"/>
      <c r="CF625" s="51"/>
      <c r="CG625" s="51"/>
    </row>
    <row r="626" spans="1:85" ht="15.75" customHeight="1">
      <c r="A626" s="68"/>
      <c r="B626" s="103"/>
      <c r="C626" s="68" t="s">
        <v>739</v>
      </c>
      <c r="D626" s="70" t="s">
        <v>740</v>
      </c>
      <c r="E626" s="99">
        <v>0</v>
      </c>
      <c r="F626" s="99">
        <v>0</v>
      </c>
      <c r="G626" s="58">
        <f>E626-F626</f>
        <v>0</v>
      </c>
      <c r="H626" s="56">
        <v>20000</v>
      </c>
      <c r="I626" s="59">
        <f t="shared" si="3007"/>
        <v>0</v>
      </c>
      <c r="J626" s="59">
        <f t="shared" si="2705"/>
        <v>0</v>
      </c>
      <c r="K626" s="74">
        <v>0</v>
      </c>
      <c r="L626" s="74">
        <v>0</v>
      </c>
      <c r="M626" s="74">
        <v>0</v>
      </c>
      <c r="N626" s="74">
        <v>0</v>
      </c>
      <c r="O626" s="61">
        <f t="shared" ref="O626:Q626" si="3271">AA626+AD626+AG626+AJ626+AM626+AP626+AS626+AV626+AY626+BB626+BE626+BH626</f>
        <v>0</v>
      </c>
      <c r="P626" s="61">
        <f t="shared" si="3271"/>
        <v>0</v>
      </c>
      <c r="Q626" s="61">
        <f t="shared" si="3271"/>
        <v>0</v>
      </c>
      <c r="R626" s="61">
        <f t="shared" ref="R626:T626" si="3272">IF(BK626=0,SUM(AA626+AD626+AG626+AJ626+AM626+AP626+AS626+AV626+AY626+BB626+BE626+BH626),BK626)</f>
        <v>0</v>
      </c>
      <c r="S626" s="61">
        <f t="shared" si="3272"/>
        <v>0</v>
      </c>
      <c r="T626" s="61">
        <f t="shared" si="3272"/>
        <v>0</v>
      </c>
      <c r="U626" s="63">
        <f>K626-O626</f>
        <v>0</v>
      </c>
      <c r="V626" s="63">
        <f>L626-M626-S626</f>
        <v>0</v>
      </c>
      <c r="W626" s="63">
        <f>N626-Q626</f>
        <v>0</v>
      </c>
      <c r="X626" s="64">
        <f t="shared" ref="X626:Y626" si="3273">IF(O626&gt;0,O626/K626,0)</f>
        <v>0</v>
      </c>
      <c r="Y626" s="64">
        <f t="shared" si="3273"/>
        <v>0</v>
      </c>
      <c r="Z626" s="64">
        <f t="shared" si="3262"/>
        <v>0</v>
      </c>
      <c r="AA626" s="65"/>
      <c r="AB626" s="65"/>
      <c r="AC626" s="65"/>
      <c r="AD626" s="65"/>
      <c r="AE626" s="66"/>
      <c r="AF626" s="66"/>
      <c r="AG626" s="66"/>
      <c r="AH626" s="66"/>
      <c r="AI626" s="65"/>
      <c r="AJ626" s="65"/>
      <c r="AK626" s="65"/>
      <c r="AL626" s="65"/>
      <c r="AM626" s="65"/>
      <c r="AN626" s="65"/>
      <c r="AO626" s="65"/>
      <c r="AP626" s="65"/>
      <c r="AQ626" s="65"/>
      <c r="AR626" s="65"/>
      <c r="AS626" s="65"/>
      <c r="AT626" s="65"/>
      <c r="AU626" s="65"/>
      <c r="AV626" s="65"/>
      <c r="AW626" s="65"/>
      <c r="AX626" s="65"/>
      <c r="AY626" s="65"/>
      <c r="AZ626" s="65"/>
      <c r="BA626" s="65"/>
      <c r="BB626" s="65"/>
      <c r="BC626" s="65"/>
      <c r="BD626" s="65"/>
      <c r="BE626" s="65"/>
      <c r="BF626" s="65"/>
      <c r="BG626" s="65"/>
      <c r="BH626" s="65"/>
      <c r="BI626" s="65"/>
      <c r="BJ626" s="65"/>
      <c r="BK626" s="65">
        <v>0</v>
      </c>
      <c r="BL626" s="65">
        <v>0</v>
      </c>
      <c r="BM626" s="65">
        <v>0</v>
      </c>
      <c r="BN626" s="65">
        <f>IF(O626-BK626&gt;0,O626-BK626,0)</f>
        <v>0</v>
      </c>
      <c r="BO626" s="67">
        <f>IF(Q626-BM626&gt;0,Q626-BM626,0)</f>
        <v>0</v>
      </c>
      <c r="BP626" s="65">
        <f>IF(BN626+BO626&gt;0,BN626+BO626,0)</f>
        <v>0</v>
      </c>
      <c r="BQ626" s="65">
        <f>IF(U626=0,0,U626)</f>
        <v>0</v>
      </c>
      <c r="BR626" s="65">
        <f>IF(W626=0,0,W626)</f>
        <v>0</v>
      </c>
      <c r="BS626" s="65">
        <f>IF(BQ626+BR626&gt;0,BQ626+BR626,0)</f>
        <v>0</v>
      </c>
      <c r="BT626" s="65">
        <f>IF(V626&gt;0,V626,0)</f>
        <v>0</v>
      </c>
      <c r="BU626" s="65">
        <f>IF(BP626=0,0,BP626)</f>
        <v>0</v>
      </c>
      <c r="BV626" s="65">
        <f>IF(BS626=0,0,BS626)</f>
        <v>0</v>
      </c>
      <c r="BW626" s="65">
        <f>IF(BP626+BT626+BV626&gt;0,BP626+BT626+BV626,0)</f>
        <v>0</v>
      </c>
      <c r="BX626" s="6"/>
      <c r="BY626" s="6"/>
      <c r="BZ626" s="6"/>
      <c r="CA626" s="6"/>
      <c r="CB626" s="6"/>
      <c r="CC626" s="6"/>
      <c r="CD626" s="6"/>
      <c r="CE626" s="6"/>
      <c r="CF626" s="6"/>
      <c r="CG626" s="6"/>
    </row>
    <row r="627" spans="1:85" ht="15.75">
      <c r="A627" s="75"/>
      <c r="B627" s="76"/>
      <c r="C627" s="77"/>
      <c r="D627" s="280" t="s">
        <v>168</v>
      </c>
      <c r="E627" s="45">
        <f t="shared" ref="E627:H627" si="3274">SUM(E628:E630)</f>
        <v>0</v>
      </c>
      <c r="F627" s="45">
        <f t="shared" si="3274"/>
        <v>0</v>
      </c>
      <c r="G627" s="45">
        <f t="shared" si="3274"/>
        <v>0</v>
      </c>
      <c r="H627" s="45">
        <f t="shared" si="3274"/>
        <v>200000</v>
      </c>
      <c r="I627" s="47">
        <f t="shared" si="3007"/>
        <v>0</v>
      </c>
      <c r="J627" s="47">
        <f t="shared" si="2705"/>
        <v>0</v>
      </c>
      <c r="K627" s="45">
        <f t="shared" ref="K627:W627" si="3275">SUM(K628:K630)</f>
        <v>0</v>
      </c>
      <c r="L627" s="45">
        <f t="shared" si="3275"/>
        <v>0</v>
      </c>
      <c r="M627" s="45">
        <f t="shared" si="3275"/>
        <v>0</v>
      </c>
      <c r="N627" s="45">
        <f t="shared" si="3275"/>
        <v>0</v>
      </c>
      <c r="O627" s="45">
        <f t="shared" si="3275"/>
        <v>0</v>
      </c>
      <c r="P627" s="45">
        <f t="shared" si="3275"/>
        <v>0</v>
      </c>
      <c r="Q627" s="45">
        <f t="shared" si="3275"/>
        <v>0</v>
      </c>
      <c r="R627" s="45">
        <f t="shared" si="3275"/>
        <v>0</v>
      </c>
      <c r="S627" s="45">
        <f t="shared" si="3275"/>
        <v>0</v>
      </c>
      <c r="T627" s="45">
        <f t="shared" si="3275"/>
        <v>0</v>
      </c>
      <c r="U627" s="45">
        <f t="shared" si="3275"/>
        <v>0</v>
      </c>
      <c r="V627" s="45">
        <f t="shared" si="3275"/>
        <v>0</v>
      </c>
      <c r="W627" s="45">
        <f t="shared" si="3275"/>
        <v>0</v>
      </c>
      <c r="X627" s="50">
        <f t="shared" ref="X627:Y627" si="3276">IF(O627&gt;0,O627/K627,0)</f>
        <v>0</v>
      </c>
      <c r="Y627" s="50">
        <f t="shared" si="3276"/>
        <v>0</v>
      </c>
      <c r="Z627" s="50">
        <f t="shared" si="3262"/>
        <v>0</v>
      </c>
      <c r="AA627" s="45">
        <f t="shared" ref="AA627:BW627" si="3277">SUM(AA628:AA630)</f>
        <v>0</v>
      </c>
      <c r="AB627" s="45">
        <f t="shared" si="3277"/>
        <v>0</v>
      </c>
      <c r="AC627" s="45">
        <f t="shared" si="3277"/>
        <v>0</v>
      </c>
      <c r="AD627" s="45">
        <f t="shared" si="3277"/>
        <v>0</v>
      </c>
      <c r="AE627" s="45">
        <f t="shared" si="3277"/>
        <v>0</v>
      </c>
      <c r="AF627" s="45">
        <f t="shared" si="3277"/>
        <v>0</v>
      </c>
      <c r="AG627" s="45">
        <f t="shared" si="3277"/>
        <v>0</v>
      </c>
      <c r="AH627" s="45">
        <f t="shared" si="3277"/>
        <v>0</v>
      </c>
      <c r="AI627" s="45">
        <f t="shared" si="3277"/>
        <v>0</v>
      </c>
      <c r="AJ627" s="45">
        <f t="shared" si="3277"/>
        <v>0</v>
      </c>
      <c r="AK627" s="45">
        <f t="shared" si="3277"/>
        <v>0</v>
      </c>
      <c r="AL627" s="45">
        <f t="shared" si="3277"/>
        <v>0</v>
      </c>
      <c r="AM627" s="45">
        <f t="shared" si="3277"/>
        <v>0</v>
      </c>
      <c r="AN627" s="45">
        <f t="shared" si="3277"/>
        <v>0</v>
      </c>
      <c r="AO627" s="45">
        <f t="shared" si="3277"/>
        <v>0</v>
      </c>
      <c r="AP627" s="45">
        <f t="shared" si="3277"/>
        <v>0</v>
      </c>
      <c r="AQ627" s="45">
        <f t="shared" si="3277"/>
        <v>0</v>
      </c>
      <c r="AR627" s="45">
        <f t="shared" si="3277"/>
        <v>0</v>
      </c>
      <c r="AS627" s="45">
        <f t="shared" si="3277"/>
        <v>0</v>
      </c>
      <c r="AT627" s="45">
        <f t="shared" si="3277"/>
        <v>0</v>
      </c>
      <c r="AU627" s="45">
        <f t="shared" si="3277"/>
        <v>0</v>
      </c>
      <c r="AV627" s="45">
        <f t="shared" si="3277"/>
        <v>0</v>
      </c>
      <c r="AW627" s="45">
        <f t="shared" si="3277"/>
        <v>0</v>
      </c>
      <c r="AX627" s="45">
        <f t="shared" si="3277"/>
        <v>0</v>
      </c>
      <c r="AY627" s="45">
        <f t="shared" si="3277"/>
        <v>0</v>
      </c>
      <c r="AZ627" s="45">
        <f t="shared" si="3277"/>
        <v>0</v>
      </c>
      <c r="BA627" s="45">
        <f t="shared" si="3277"/>
        <v>0</v>
      </c>
      <c r="BB627" s="45">
        <f t="shared" si="3277"/>
        <v>0</v>
      </c>
      <c r="BC627" s="45">
        <f t="shared" si="3277"/>
        <v>0</v>
      </c>
      <c r="BD627" s="45">
        <f t="shared" si="3277"/>
        <v>0</v>
      </c>
      <c r="BE627" s="45">
        <f t="shared" si="3277"/>
        <v>0</v>
      </c>
      <c r="BF627" s="45">
        <f t="shared" si="3277"/>
        <v>0</v>
      </c>
      <c r="BG627" s="45">
        <f t="shared" si="3277"/>
        <v>0</v>
      </c>
      <c r="BH627" s="45">
        <f t="shared" si="3277"/>
        <v>0</v>
      </c>
      <c r="BI627" s="45">
        <f t="shared" si="3277"/>
        <v>0</v>
      </c>
      <c r="BJ627" s="45">
        <f t="shared" si="3277"/>
        <v>0</v>
      </c>
      <c r="BK627" s="45">
        <f t="shared" si="3277"/>
        <v>0</v>
      </c>
      <c r="BL627" s="45">
        <f t="shared" si="3277"/>
        <v>0</v>
      </c>
      <c r="BM627" s="45">
        <f t="shared" si="3277"/>
        <v>0</v>
      </c>
      <c r="BN627" s="45">
        <f t="shared" si="3277"/>
        <v>0</v>
      </c>
      <c r="BO627" s="45">
        <f t="shared" si="3277"/>
        <v>0</v>
      </c>
      <c r="BP627" s="45">
        <f t="shared" si="3277"/>
        <v>0</v>
      </c>
      <c r="BQ627" s="45">
        <f t="shared" si="3277"/>
        <v>0</v>
      </c>
      <c r="BR627" s="45">
        <f t="shared" si="3277"/>
        <v>0</v>
      </c>
      <c r="BS627" s="45">
        <f t="shared" si="3277"/>
        <v>0</v>
      </c>
      <c r="BT627" s="45">
        <f t="shared" si="3277"/>
        <v>0</v>
      </c>
      <c r="BU627" s="45">
        <f t="shared" si="3277"/>
        <v>0</v>
      </c>
      <c r="BV627" s="45">
        <f t="shared" si="3277"/>
        <v>0</v>
      </c>
      <c r="BW627" s="45">
        <f t="shared" si="3277"/>
        <v>0</v>
      </c>
      <c r="BX627" s="51"/>
      <c r="BY627" s="51"/>
      <c r="BZ627" s="51"/>
      <c r="CA627" s="51"/>
      <c r="CB627" s="51"/>
      <c r="CC627" s="51"/>
      <c r="CD627" s="51"/>
      <c r="CE627" s="51"/>
      <c r="CF627" s="51"/>
      <c r="CG627" s="51"/>
    </row>
    <row r="628" spans="1:85" ht="15.75" customHeight="1">
      <c r="A628" s="68"/>
      <c r="B628" s="103"/>
      <c r="C628" s="68" t="s">
        <v>198</v>
      </c>
      <c r="D628" s="171" t="s">
        <v>741</v>
      </c>
      <c r="E628" s="99">
        <v>0</v>
      </c>
      <c r="F628" s="99">
        <v>0</v>
      </c>
      <c r="G628" s="58">
        <f t="shared" ref="G628:G630" si="3278">E628-F628</f>
        <v>0</v>
      </c>
      <c r="H628" s="56">
        <v>200000</v>
      </c>
      <c r="I628" s="59">
        <f t="shared" si="3007"/>
        <v>0</v>
      </c>
      <c r="J628" s="59">
        <f t="shared" si="2705"/>
        <v>0</v>
      </c>
      <c r="K628" s="74">
        <v>0</v>
      </c>
      <c r="L628" s="74">
        <v>0</v>
      </c>
      <c r="M628" s="74">
        <v>0</v>
      </c>
      <c r="N628" s="74">
        <v>0</v>
      </c>
      <c r="O628" s="61">
        <f t="shared" ref="O628:Q628" si="3279">AA628+AD628+AG628+AJ628+AM628+AP628+AS628+AV628+AY628+BB628+BE628+BH628</f>
        <v>0</v>
      </c>
      <c r="P628" s="61">
        <f t="shared" si="3279"/>
        <v>0</v>
      </c>
      <c r="Q628" s="61">
        <f t="shared" si="3279"/>
        <v>0</v>
      </c>
      <c r="R628" s="61">
        <f t="shared" ref="R628:T628" si="3280">IF(BK628=0,SUM(AA628+AD628+AG628+AJ628+AM628+AP628+AS628+AV628+AY628+BB628+BE628+BH628),BK628)</f>
        <v>0</v>
      </c>
      <c r="S628" s="61">
        <f t="shared" si="3280"/>
        <v>0</v>
      </c>
      <c r="T628" s="61">
        <f t="shared" si="3280"/>
        <v>0</v>
      </c>
      <c r="U628" s="63">
        <f t="shared" ref="U628:U630" si="3281">K628-O628</f>
        <v>0</v>
      </c>
      <c r="V628" s="63">
        <f t="shared" ref="V628:V630" si="3282">L628-M628-S628</f>
        <v>0</v>
      </c>
      <c r="W628" s="63">
        <f t="shared" ref="W628:W630" si="3283">N628-Q628</f>
        <v>0</v>
      </c>
      <c r="X628" s="64">
        <f t="shared" ref="X628:Y628" si="3284">IF(O628&gt;0,O628/K628,0)</f>
        <v>0</v>
      </c>
      <c r="Y628" s="64">
        <f t="shared" si="3284"/>
        <v>0</v>
      </c>
      <c r="Z628" s="64">
        <f t="shared" si="3262"/>
        <v>0</v>
      </c>
      <c r="AA628" s="65"/>
      <c r="AB628" s="65"/>
      <c r="AC628" s="65"/>
      <c r="AD628" s="65"/>
      <c r="AE628" s="66"/>
      <c r="AF628" s="66"/>
      <c r="AG628" s="66"/>
      <c r="AH628" s="66"/>
      <c r="AI628" s="65"/>
      <c r="AJ628" s="65"/>
      <c r="AK628" s="65"/>
      <c r="AL628" s="65"/>
      <c r="AM628" s="65"/>
      <c r="AN628" s="65"/>
      <c r="AO628" s="65"/>
      <c r="AP628" s="65"/>
      <c r="AQ628" s="65"/>
      <c r="AR628" s="65"/>
      <c r="AS628" s="65"/>
      <c r="AT628" s="65"/>
      <c r="AU628" s="65"/>
      <c r="AV628" s="65"/>
      <c r="AW628" s="65"/>
      <c r="AX628" s="65"/>
      <c r="AY628" s="65"/>
      <c r="AZ628" s="65"/>
      <c r="BA628" s="65"/>
      <c r="BB628" s="65"/>
      <c r="BC628" s="65"/>
      <c r="BD628" s="65"/>
      <c r="BE628" s="65"/>
      <c r="BF628" s="65"/>
      <c r="BG628" s="65"/>
      <c r="BH628" s="65"/>
      <c r="BI628" s="65"/>
      <c r="BJ628" s="65"/>
      <c r="BK628" s="65">
        <v>0</v>
      </c>
      <c r="BL628" s="65">
        <v>0</v>
      </c>
      <c r="BM628" s="65">
        <v>0</v>
      </c>
      <c r="BN628" s="65">
        <f t="shared" ref="BN628:BN630" si="3285">IF(O628-BK628&gt;0,O628-BK628,0)</f>
        <v>0</v>
      </c>
      <c r="BO628" s="67">
        <f t="shared" ref="BO628:BO630" si="3286">IF(Q628-BM628&gt;0,Q628-BM628,0)</f>
        <v>0</v>
      </c>
      <c r="BP628" s="65">
        <f t="shared" ref="BP628:BP630" si="3287">IF(BN628+BO628&gt;0,BN628+BO628,0)</f>
        <v>0</v>
      </c>
      <c r="BQ628" s="65">
        <f t="shared" ref="BQ628:BQ630" si="3288">IF(U628=0,0,U628)</f>
        <v>0</v>
      </c>
      <c r="BR628" s="65">
        <f t="shared" ref="BR628:BR630" si="3289">IF(W628=0,0,W628)</f>
        <v>0</v>
      </c>
      <c r="BS628" s="65">
        <f t="shared" ref="BS628:BS630" si="3290">IF(BQ628+BR628&gt;0,BQ628+BR628,0)</f>
        <v>0</v>
      </c>
      <c r="BT628" s="65">
        <f t="shared" ref="BT628:BT630" si="3291">IF(V628&gt;0,V628,0)</f>
        <v>0</v>
      </c>
      <c r="BU628" s="65">
        <f t="shared" ref="BU628:BU630" si="3292">IF(BP628=0,0,BP628)</f>
        <v>0</v>
      </c>
      <c r="BV628" s="65">
        <f t="shared" ref="BV628:BV630" si="3293">IF(BS628=0,0,BS628)</f>
        <v>0</v>
      </c>
      <c r="BW628" s="65">
        <f t="shared" ref="BW628:BW630" si="3294">IF(BP628+BT628+BV628&gt;0,BP628+BT628+BV628,0)</f>
        <v>0</v>
      </c>
      <c r="BX628" s="6"/>
      <c r="BY628" s="6"/>
      <c r="BZ628" s="6"/>
      <c r="CA628" s="6"/>
      <c r="CB628" s="6"/>
      <c r="CC628" s="6"/>
      <c r="CD628" s="6"/>
      <c r="CE628" s="6"/>
      <c r="CF628" s="6"/>
      <c r="CG628" s="6"/>
    </row>
    <row r="629" spans="1:85" ht="15.75" customHeight="1">
      <c r="A629" s="68"/>
      <c r="B629" s="103"/>
      <c r="C629" s="68"/>
      <c r="D629" s="105"/>
      <c r="E629" s="99">
        <v>0</v>
      </c>
      <c r="F629" s="99">
        <v>0</v>
      </c>
      <c r="G629" s="58">
        <f t="shared" si="3278"/>
        <v>0</v>
      </c>
      <c r="H629" s="57">
        <v>0</v>
      </c>
      <c r="I629" s="59">
        <f t="shared" si="3007"/>
        <v>0</v>
      </c>
      <c r="J629" s="59">
        <f t="shared" si="2705"/>
        <v>0</v>
      </c>
      <c r="K629" s="74">
        <v>0</v>
      </c>
      <c r="L629" s="74">
        <v>0</v>
      </c>
      <c r="M629" s="74">
        <v>0</v>
      </c>
      <c r="N629" s="74">
        <v>0</v>
      </c>
      <c r="O629" s="61">
        <f t="shared" ref="O629:Q629" si="3295">AA629+AD629+AG629+AJ629+AM629+AP629+AS629+AV629+AY629+BB629+BE629+BH629</f>
        <v>0</v>
      </c>
      <c r="P629" s="61">
        <f t="shared" si="3295"/>
        <v>0</v>
      </c>
      <c r="Q629" s="61">
        <f t="shared" si="3295"/>
        <v>0</v>
      </c>
      <c r="R629" s="61">
        <f t="shared" ref="R629:T629" si="3296">IF(BK629=0,SUM(AA629+AD629+AG629+AJ629+AM629+AP629+AS629+AV629+AY629+BB629+BE629+BH629),BK629)</f>
        <v>0</v>
      </c>
      <c r="S629" s="61">
        <f t="shared" si="3296"/>
        <v>0</v>
      </c>
      <c r="T629" s="61">
        <f t="shared" si="3296"/>
        <v>0</v>
      </c>
      <c r="U629" s="63">
        <f t="shared" si="3281"/>
        <v>0</v>
      </c>
      <c r="V629" s="63">
        <f t="shared" si="3282"/>
        <v>0</v>
      </c>
      <c r="W629" s="63">
        <f t="shared" si="3283"/>
        <v>0</v>
      </c>
      <c r="X629" s="64">
        <f t="shared" ref="X629:Y629" si="3297">IF(O629&gt;0,O629/K629,0)</f>
        <v>0</v>
      </c>
      <c r="Y629" s="64">
        <f t="shared" si="3297"/>
        <v>0</v>
      </c>
      <c r="Z629" s="64">
        <f t="shared" si="3262"/>
        <v>0</v>
      </c>
      <c r="AA629" s="65"/>
      <c r="AB629" s="65"/>
      <c r="AC629" s="65"/>
      <c r="AD629" s="65"/>
      <c r="AE629" s="66"/>
      <c r="AF629" s="66"/>
      <c r="AG629" s="66"/>
      <c r="AH629" s="66"/>
      <c r="AI629" s="65"/>
      <c r="AJ629" s="65"/>
      <c r="AK629" s="65"/>
      <c r="AL629" s="65"/>
      <c r="AM629" s="65"/>
      <c r="AN629" s="65"/>
      <c r="AO629" s="65"/>
      <c r="AP629" s="65"/>
      <c r="AQ629" s="65"/>
      <c r="AR629" s="65"/>
      <c r="AS629" s="65"/>
      <c r="AT629" s="65"/>
      <c r="AU629" s="65"/>
      <c r="AV629" s="65"/>
      <c r="AW629" s="65"/>
      <c r="AX629" s="65"/>
      <c r="AY629" s="65"/>
      <c r="AZ629" s="65"/>
      <c r="BA629" s="65"/>
      <c r="BB629" s="65"/>
      <c r="BC629" s="65"/>
      <c r="BD629" s="65"/>
      <c r="BE629" s="65"/>
      <c r="BF629" s="65"/>
      <c r="BG629" s="65"/>
      <c r="BH629" s="65"/>
      <c r="BI629" s="65"/>
      <c r="BJ629" s="65"/>
      <c r="BK629" s="65">
        <v>0</v>
      </c>
      <c r="BL629" s="65">
        <v>0</v>
      </c>
      <c r="BM629" s="65">
        <v>0</v>
      </c>
      <c r="BN629" s="65">
        <f t="shared" si="3285"/>
        <v>0</v>
      </c>
      <c r="BO629" s="67">
        <f t="shared" si="3286"/>
        <v>0</v>
      </c>
      <c r="BP629" s="65">
        <f t="shared" si="3287"/>
        <v>0</v>
      </c>
      <c r="BQ629" s="65">
        <f t="shared" si="3288"/>
        <v>0</v>
      </c>
      <c r="BR629" s="65">
        <f t="shared" si="3289"/>
        <v>0</v>
      </c>
      <c r="BS629" s="65">
        <f t="shared" si="3290"/>
        <v>0</v>
      </c>
      <c r="BT629" s="65">
        <f t="shared" si="3291"/>
        <v>0</v>
      </c>
      <c r="BU629" s="65">
        <f t="shared" si="3292"/>
        <v>0</v>
      </c>
      <c r="BV629" s="65">
        <f t="shared" si="3293"/>
        <v>0</v>
      </c>
      <c r="BW629" s="65">
        <f t="shared" si="3294"/>
        <v>0</v>
      </c>
      <c r="BX629" s="6"/>
      <c r="BY629" s="6"/>
      <c r="BZ629" s="6"/>
      <c r="CA629" s="6"/>
      <c r="CB629" s="6"/>
      <c r="CC629" s="6"/>
      <c r="CD629" s="6"/>
      <c r="CE629" s="6"/>
      <c r="CF629" s="6"/>
      <c r="CG629" s="6"/>
    </row>
    <row r="630" spans="1:85" ht="15.75" customHeight="1">
      <c r="A630" s="68"/>
      <c r="B630" s="103"/>
      <c r="C630" s="68"/>
      <c r="D630" s="105"/>
      <c r="E630" s="99">
        <v>0</v>
      </c>
      <c r="F630" s="99">
        <v>0</v>
      </c>
      <c r="G630" s="58">
        <f t="shared" si="3278"/>
        <v>0</v>
      </c>
      <c r="H630" s="57">
        <v>0</v>
      </c>
      <c r="I630" s="59">
        <f t="shared" si="3007"/>
        <v>0</v>
      </c>
      <c r="J630" s="59">
        <f t="shared" si="2705"/>
        <v>0</v>
      </c>
      <c r="K630" s="74">
        <v>0</v>
      </c>
      <c r="L630" s="74">
        <v>0</v>
      </c>
      <c r="M630" s="74">
        <v>0</v>
      </c>
      <c r="N630" s="74">
        <v>0</v>
      </c>
      <c r="O630" s="61">
        <f t="shared" ref="O630:Q630" si="3298">AA630+AD630+AG630+AJ630+AM630+AP630+AS630+AV630+AY630+BB630+BE630+BH630</f>
        <v>0</v>
      </c>
      <c r="P630" s="61">
        <f t="shared" si="3298"/>
        <v>0</v>
      </c>
      <c r="Q630" s="61">
        <f t="shared" si="3298"/>
        <v>0</v>
      </c>
      <c r="R630" s="61">
        <f t="shared" ref="R630:T630" si="3299">IF(BK630=0,SUM(AA630+AD630+AG630+AJ630+AM630+AP630+AS630+AV630+AY630+BB630+BE630+BH630),BK630)</f>
        <v>0</v>
      </c>
      <c r="S630" s="61">
        <f t="shared" si="3299"/>
        <v>0</v>
      </c>
      <c r="T630" s="61">
        <f t="shared" si="3299"/>
        <v>0</v>
      </c>
      <c r="U630" s="63">
        <f t="shared" si="3281"/>
        <v>0</v>
      </c>
      <c r="V630" s="63">
        <f t="shared" si="3282"/>
        <v>0</v>
      </c>
      <c r="W630" s="63">
        <f t="shared" si="3283"/>
        <v>0</v>
      </c>
      <c r="X630" s="64">
        <f t="shared" ref="X630:Y630" si="3300">IF(O630&gt;0,O630/K630,0)</f>
        <v>0</v>
      </c>
      <c r="Y630" s="64">
        <f t="shared" si="3300"/>
        <v>0</v>
      </c>
      <c r="Z630" s="64">
        <f t="shared" si="3262"/>
        <v>0</v>
      </c>
      <c r="AA630" s="65"/>
      <c r="AB630" s="65"/>
      <c r="AC630" s="65"/>
      <c r="AD630" s="65"/>
      <c r="AE630" s="66"/>
      <c r="AF630" s="66"/>
      <c r="AG630" s="66"/>
      <c r="AH630" s="66"/>
      <c r="AI630" s="65"/>
      <c r="AJ630" s="65"/>
      <c r="AK630" s="65"/>
      <c r="AL630" s="65"/>
      <c r="AM630" s="65"/>
      <c r="AN630" s="65"/>
      <c r="AO630" s="65"/>
      <c r="AP630" s="65"/>
      <c r="AQ630" s="65"/>
      <c r="AR630" s="65"/>
      <c r="AS630" s="65"/>
      <c r="AT630" s="65"/>
      <c r="AU630" s="65"/>
      <c r="AV630" s="65"/>
      <c r="AW630" s="65"/>
      <c r="AX630" s="65"/>
      <c r="AY630" s="65"/>
      <c r="AZ630" s="65"/>
      <c r="BA630" s="65"/>
      <c r="BB630" s="65"/>
      <c r="BC630" s="65"/>
      <c r="BD630" s="65"/>
      <c r="BE630" s="65"/>
      <c r="BF630" s="65"/>
      <c r="BG630" s="65"/>
      <c r="BH630" s="65"/>
      <c r="BI630" s="65"/>
      <c r="BJ630" s="65"/>
      <c r="BK630" s="65">
        <v>0</v>
      </c>
      <c r="BL630" s="65">
        <v>0</v>
      </c>
      <c r="BM630" s="65">
        <v>0</v>
      </c>
      <c r="BN630" s="65">
        <f t="shared" si="3285"/>
        <v>0</v>
      </c>
      <c r="BO630" s="67">
        <f t="shared" si="3286"/>
        <v>0</v>
      </c>
      <c r="BP630" s="65">
        <f t="shared" si="3287"/>
        <v>0</v>
      </c>
      <c r="BQ630" s="65">
        <f t="shared" si="3288"/>
        <v>0</v>
      </c>
      <c r="BR630" s="65">
        <f t="shared" si="3289"/>
        <v>0</v>
      </c>
      <c r="BS630" s="65">
        <f t="shared" si="3290"/>
        <v>0</v>
      </c>
      <c r="BT630" s="65">
        <f t="shared" si="3291"/>
        <v>0</v>
      </c>
      <c r="BU630" s="65">
        <f t="shared" si="3292"/>
        <v>0</v>
      </c>
      <c r="BV630" s="65">
        <f t="shared" si="3293"/>
        <v>0</v>
      </c>
      <c r="BW630" s="65">
        <f t="shared" si="3294"/>
        <v>0</v>
      </c>
      <c r="BX630" s="6"/>
      <c r="BY630" s="6"/>
      <c r="BZ630" s="6"/>
      <c r="CA630" s="6"/>
      <c r="CB630" s="6"/>
      <c r="CC630" s="6"/>
      <c r="CD630" s="6"/>
      <c r="CE630" s="6"/>
      <c r="CF630" s="6"/>
      <c r="CG630" s="6"/>
    </row>
    <row r="631" spans="1:85" ht="15.75" customHeight="1">
      <c r="A631" s="375" t="s">
        <v>742</v>
      </c>
      <c r="B631" s="35"/>
      <c r="C631" s="36"/>
      <c r="D631" s="37" t="s">
        <v>743</v>
      </c>
      <c r="E631" s="38">
        <f t="shared" ref="E631:H631" si="3301">E632+E635+E637+E693+E697+E705+E707+E711</f>
        <v>1300413.82</v>
      </c>
      <c r="F631" s="38">
        <f t="shared" si="3301"/>
        <v>0</v>
      </c>
      <c r="G631" s="38">
        <f t="shared" si="3301"/>
        <v>1300413.82</v>
      </c>
      <c r="H631" s="38">
        <f t="shared" si="3301"/>
        <v>917000</v>
      </c>
      <c r="I631" s="39">
        <f t="shared" si="3007"/>
        <v>0.768905001332576</v>
      </c>
      <c r="J631" s="39">
        <f t="shared" si="2705"/>
        <v>0.42879314370866978</v>
      </c>
      <c r="K631" s="38">
        <f t="shared" ref="K631:W631" si="3302">K632+K635+K637+K693+K697+K705+K707+K711</f>
        <v>999894.69000000029</v>
      </c>
      <c r="L631" s="38">
        <f t="shared" si="3302"/>
        <v>560945.5</v>
      </c>
      <c r="M631" s="38">
        <f t="shared" si="3302"/>
        <v>0</v>
      </c>
      <c r="N631" s="38">
        <f t="shared" si="3302"/>
        <v>0</v>
      </c>
      <c r="O631" s="38">
        <f t="shared" si="3302"/>
        <v>557608.53000000026</v>
      </c>
      <c r="P631" s="38">
        <f t="shared" si="3302"/>
        <v>520908.73</v>
      </c>
      <c r="Q631" s="38">
        <f t="shared" si="3302"/>
        <v>0</v>
      </c>
      <c r="R631" s="38">
        <f t="shared" si="3302"/>
        <v>557608.53000000026</v>
      </c>
      <c r="S631" s="38">
        <f t="shared" si="3302"/>
        <v>520908.73</v>
      </c>
      <c r="T631" s="38">
        <f t="shared" si="3302"/>
        <v>0</v>
      </c>
      <c r="U631" s="38">
        <f t="shared" si="3302"/>
        <v>442286.16000000009</v>
      </c>
      <c r="V631" s="38">
        <f t="shared" si="3302"/>
        <v>40036.769999999997</v>
      </c>
      <c r="W631" s="38">
        <f t="shared" si="3302"/>
        <v>0</v>
      </c>
      <c r="X631" s="40">
        <f t="shared" ref="X631:Y631" si="3303">IF(O631&gt;0,O631/K631,0)</f>
        <v>0.55766725793893368</v>
      </c>
      <c r="Y631" s="40">
        <f t="shared" si="3303"/>
        <v>0.92862627474505099</v>
      </c>
      <c r="Z631" s="40">
        <f t="shared" si="3262"/>
        <v>0</v>
      </c>
      <c r="AA631" s="38">
        <f t="shared" ref="AA631:BW631" si="3304">AA632+AA635+AA637+AA693+AA697+AA705+AA707+AA711</f>
        <v>205.94</v>
      </c>
      <c r="AB631" s="38">
        <f t="shared" si="3304"/>
        <v>98406.27</v>
      </c>
      <c r="AC631" s="38">
        <f t="shared" si="3304"/>
        <v>0</v>
      </c>
      <c r="AD631" s="38">
        <f t="shared" si="3304"/>
        <v>54665</v>
      </c>
      <c r="AE631" s="38">
        <f t="shared" si="3304"/>
        <v>253780.83000000002</v>
      </c>
      <c r="AF631" s="38">
        <f t="shared" si="3304"/>
        <v>0</v>
      </c>
      <c r="AG631" s="38">
        <f t="shared" si="3304"/>
        <v>95825.24</v>
      </c>
      <c r="AH631" s="38">
        <f t="shared" si="3304"/>
        <v>137336.08000000002</v>
      </c>
      <c r="AI631" s="38">
        <f t="shared" si="3304"/>
        <v>0</v>
      </c>
      <c r="AJ631" s="38">
        <f t="shared" si="3304"/>
        <v>66651.42</v>
      </c>
      <c r="AK631" s="38">
        <f t="shared" si="3304"/>
        <v>6585.8</v>
      </c>
      <c r="AL631" s="38">
        <f t="shared" si="3304"/>
        <v>0</v>
      </c>
      <c r="AM631" s="38">
        <f t="shared" si="3304"/>
        <v>179554.42</v>
      </c>
      <c r="AN631" s="38">
        <f t="shared" si="3304"/>
        <v>4796.3999999999996</v>
      </c>
      <c r="AO631" s="38">
        <f t="shared" si="3304"/>
        <v>0</v>
      </c>
      <c r="AP631" s="38">
        <f t="shared" si="3304"/>
        <v>160706.51</v>
      </c>
      <c r="AQ631" s="38">
        <f t="shared" si="3304"/>
        <v>20003.349999999999</v>
      </c>
      <c r="AR631" s="38">
        <f t="shared" si="3304"/>
        <v>0</v>
      </c>
      <c r="AS631" s="38">
        <f t="shared" si="3304"/>
        <v>0</v>
      </c>
      <c r="AT631" s="38">
        <f t="shared" si="3304"/>
        <v>0</v>
      </c>
      <c r="AU631" s="38">
        <f t="shared" si="3304"/>
        <v>0</v>
      </c>
      <c r="AV631" s="38">
        <f t="shared" si="3304"/>
        <v>0</v>
      </c>
      <c r="AW631" s="38">
        <f t="shared" si="3304"/>
        <v>0</v>
      </c>
      <c r="AX631" s="38">
        <f t="shared" si="3304"/>
        <v>0</v>
      </c>
      <c r="AY631" s="38">
        <f t="shared" si="3304"/>
        <v>0</v>
      </c>
      <c r="AZ631" s="38">
        <f t="shared" si="3304"/>
        <v>0</v>
      </c>
      <c r="BA631" s="38">
        <f t="shared" si="3304"/>
        <v>0</v>
      </c>
      <c r="BB631" s="38">
        <f t="shared" si="3304"/>
        <v>0</v>
      </c>
      <c r="BC631" s="38">
        <f t="shared" si="3304"/>
        <v>0</v>
      </c>
      <c r="BD631" s="38">
        <f t="shared" si="3304"/>
        <v>0</v>
      </c>
      <c r="BE631" s="38">
        <f t="shared" si="3304"/>
        <v>0</v>
      </c>
      <c r="BF631" s="38">
        <f t="shared" si="3304"/>
        <v>0</v>
      </c>
      <c r="BG631" s="38">
        <f t="shared" si="3304"/>
        <v>0</v>
      </c>
      <c r="BH631" s="38">
        <f t="shared" si="3304"/>
        <v>0</v>
      </c>
      <c r="BI631" s="38">
        <f t="shared" si="3304"/>
        <v>0</v>
      </c>
      <c r="BJ631" s="38">
        <f t="shared" si="3304"/>
        <v>0</v>
      </c>
      <c r="BK631" s="38">
        <f t="shared" si="3304"/>
        <v>0</v>
      </c>
      <c r="BL631" s="38">
        <f t="shared" si="3304"/>
        <v>0</v>
      </c>
      <c r="BM631" s="38">
        <f t="shared" si="3304"/>
        <v>0</v>
      </c>
      <c r="BN631" s="38">
        <f t="shared" si="3304"/>
        <v>556949.45000000019</v>
      </c>
      <c r="BO631" s="38">
        <f t="shared" si="3304"/>
        <v>0</v>
      </c>
      <c r="BP631" s="38">
        <f t="shared" si="3304"/>
        <v>556949.45000000019</v>
      </c>
      <c r="BQ631" s="38">
        <f t="shared" si="3304"/>
        <v>441906.41000000009</v>
      </c>
      <c r="BR631" s="38">
        <f t="shared" si="3304"/>
        <v>0</v>
      </c>
      <c r="BS631" s="38">
        <f t="shared" si="3304"/>
        <v>441906.41000000009</v>
      </c>
      <c r="BT631" s="38">
        <f t="shared" si="3304"/>
        <v>40036.769999999997</v>
      </c>
      <c r="BU631" s="38">
        <f t="shared" si="3304"/>
        <v>556949.45000000019</v>
      </c>
      <c r="BV631" s="38">
        <f t="shared" si="3304"/>
        <v>441906.41000000009</v>
      </c>
      <c r="BW631" s="38">
        <f t="shared" si="3304"/>
        <v>1038892.6300000001</v>
      </c>
      <c r="BX631" s="6"/>
      <c r="BY631" s="6"/>
      <c r="BZ631" s="6"/>
      <c r="CA631" s="6"/>
      <c r="CB631" s="6"/>
      <c r="CC631" s="6"/>
      <c r="CD631" s="6"/>
      <c r="CE631" s="6"/>
      <c r="CF631" s="6"/>
      <c r="CG631" s="6"/>
    </row>
    <row r="632" spans="1:85" ht="15.75">
      <c r="A632" s="317"/>
      <c r="B632" s="318"/>
      <c r="C632" s="319"/>
      <c r="D632" s="44" t="s">
        <v>67</v>
      </c>
      <c r="E632" s="45">
        <f t="shared" ref="E632:H632" si="3305">E633+E634</f>
        <v>5000</v>
      </c>
      <c r="F632" s="45">
        <f t="shared" si="3305"/>
        <v>0</v>
      </c>
      <c r="G632" s="45">
        <f t="shared" si="3305"/>
        <v>5000</v>
      </c>
      <c r="H632" s="45">
        <f t="shared" si="3305"/>
        <v>0</v>
      </c>
      <c r="I632" s="47">
        <f t="shared" si="3007"/>
        <v>1.9</v>
      </c>
      <c r="J632" s="47">
        <f t="shared" si="2705"/>
        <v>1.4259299999999999</v>
      </c>
      <c r="K632" s="45">
        <f t="shared" ref="K632:W632" si="3306">K633+K634</f>
        <v>9500</v>
      </c>
      <c r="L632" s="45">
        <f t="shared" si="3306"/>
        <v>0</v>
      </c>
      <c r="M632" s="45">
        <f t="shared" si="3306"/>
        <v>0</v>
      </c>
      <c r="N632" s="45">
        <f t="shared" si="3306"/>
        <v>0</v>
      </c>
      <c r="O632" s="45">
        <f t="shared" si="3306"/>
        <v>7129.65</v>
      </c>
      <c r="P632" s="45">
        <f t="shared" si="3306"/>
        <v>0</v>
      </c>
      <c r="Q632" s="45">
        <f t="shared" si="3306"/>
        <v>0</v>
      </c>
      <c r="R632" s="45">
        <f t="shared" si="3306"/>
        <v>7129.65</v>
      </c>
      <c r="S632" s="45">
        <f t="shared" si="3306"/>
        <v>0</v>
      </c>
      <c r="T632" s="45">
        <f t="shared" si="3306"/>
        <v>0</v>
      </c>
      <c r="U632" s="45">
        <f t="shared" si="3306"/>
        <v>2370.3500000000004</v>
      </c>
      <c r="V632" s="45">
        <f t="shared" si="3306"/>
        <v>0</v>
      </c>
      <c r="W632" s="45">
        <f t="shared" si="3306"/>
        <v>0</v>
      </c>
      <c r="X632" s="50">
        <f t="shared" ref="X632:Y632" si="3307">IF(O632&gt;0,O632/K632,0)</f>
        <v>0.75048947368421048</v>
      </c>
      <c r="Y632" s="50">
        <f t="shared" si="3307"/>
        <v>0</v>
      </c>
      <c r="Z632" s="50">
        <f t="shared" si="3262"/>
        <v>0</v>
      </c>
      <c r="AA632" s="45">
        <f t="shared" ref="AA632:BW632" si="3308">AA633+AA634</f>
        <v>0</v>
      </c>
      <c r="AB632" s="45">
        <f t="shared" si="3308"/>
        <v>0</v>
      </c>
      <c r="AC632" s="45">
        <f t="shared" si="3308"/>
        <v>0</v>
      </c>
      <c r="AD632" s="45">
        <f t="shared" si="3308"/>
        <v>0</v>
      </c>
      <c r="AE632" s="45">
        <f t="shared" si="3308"/>
        <v>0</v>
      </c>
      <c r="AF632" s="45">
        <f t="shared" si="3308"/>
        <v>0</v>
      </c>
      <c r="AG632" s="45">
        <f t="shared" si="3308"/>
        <v>1249.1899999999998</v>
      </c>
      <c r="AH632" s="45">
        <f t="shared" si="3308"/>
        <v>0</v>
      </c>
      <c r="AI632" s="45">
        <f t="shared" si="3308"/>
        <v>0</v>
      </c>
      <c r="AJ632" s="45">
        <f t="shared" si="3308"/>
        <v>279.93</v>
      </c>
      <c r="AK632" s="45">
        <f t="shared" si="3308"/>
        <v>0</v>
      </c>
      <c r="AL632" s="45">
        <f t="shared" si="3308"/>
        <v>0</v>
      </c>
      <c r="AM632" s="45">
        <f t="shared" si="3308"/>
        <v>2704.42</v>
      </c>
      <c r="AN632" s="45">
        <f t="shared" si="3308"/>
        <v>0</v>
      </c>
      <c r="AO632" s="45">
        <f t="shared" si="3308"/>
        <v>0</v>
      </c>
      <c r="AP632" s="45">
        <f t="shared" si="3308"/>
        <v>2896.11</v>
      </c>
      <c r="AQ632" s="45">
        <f t="shared" si="3308"/>
        <v>0</v>
      </c>
      <c r="AR632" s="45">
        <f t="shared" si="3308"/>
        <v>0</v>
      </c>
      <c r="AS632" s="45">
        <f t="shared" si="3308"/>
        <v>0</v>
      </c>
      <c r="AT632" s="45">
        <f t="shared" si="3308"/>
        <v>0</v>
      </c>
      <c r="AU632" s="45">
        <f t="shared" si="3308"/>
        <v>0</v>
      </c>
      <c r="AV632" s="45">
        <f t="shared" si="3308"/>
        <v>0</v>
      </c>
      <c r="AW632" s="45">
        <f t="shared" si="3308"/>
        <v>0</v>
      </c>
      <c r="AX632" s="45">
        <f t="shared" si="3308"/>
        <v>0</v>
      </c>
      <c r="AY632" s="45">
        <f t="shared" si="3308"/>
        <v>0</v>
      </c>
      <c r="AZ632" s="45">
        <f t="shared" si="3308"/>
        <v>0</v>
      </c>
      <c r="BA632" s="45">
        <f t="shared" si="3308"/>
        <v>0</v>
      </c>
      <c r="BB632" s="45">
        <f t="shared" si="3308"/>
        <v>0</v>
      </c>
      <c r="BC632" s="45">
        <f t="shared" si="3308"/>
        <v>0</v>
      </c>
      <c r="BD632" s="45">
        <f t="shared" si="3308"/>
        <v>0</v>
      </c>
      <c r="BE632" s="45">
        <f t="shared" si="3308"/>
        <v>0</v>
      </c>
      <c r="BF632" s="45">
        <f t="shared" si="3308"/>
        <v>0</v>
      </c>
      <c r="BG632" s="45">
        <f t="shared" si="3308"/>
        <v>0</v>
      </c>
      <c r="BH632" s="45">
        <f t="shared" si="3308"/>
        <v>0</v>
      </c>
      <c r="BI632" s="45">
        <f t="shared" si="3308"/>
        <v>0</v>
      </c>
      <c r="BJ632" s="45">
        <f t="shared" si="3308"/>
        <v>0</v>
      </c>
      <c r="BK632" s="45">
        <f t="shared" si="3308"/>
        <v>0</v>
      </c>
      <c r="BL632" s="45">
        <f t="shared" si="3308"/>
        <v>0</v>
      </c>
      <c r="BM632" s="45">
        <f t="shared" si="3308"/>
        <v>0</v>
      </c>
      <c r="BN632" s="45">
        <f t="shared" si="3308"/>
        <v>7129.65</v>
      </c>
      <c r="BO632" s="45">
        <f t="shared" si="3308"/>
        <v>0</v>
      </c>
      <c r="BP632" s="45">
        <f t="shared" si="3308"/>
        <v>7129.65</v>
      </c>
      <c r="BQ632" s="45">
        <f t="shared" si="3308"/>
        <v>2370.3500000000004</v>
      </c>
      <c r="BR632" s="45">
        <f t="shared" si="3308"/>
        <v>0</v>
      </c>
      <c r="BS632" s="45">
        <f t="shared" si="3308"/>
        <v>2370.3500000000004</v>
      </c>
      <c r="BT632" s="45">
        <f t="shared" si="3308"/>
        <v>0</v>
      </c>
      <c r="BU632" s="45">
        <f t="shared" si="3308"/>
        <v>7129.65</v>
      </c>
      <c r="BV632" s="45">
        <f t="shared" si="3308"/>
        <v>2370.3500000000004</v>
      </c>
      <c r="BW632" s="45">
        <f t="shared" si="3308"/>
        <v>9500</v>
      </c>
      <c r="BX632" s="6"/>
      <c r="BY632" s="6"/>
      <c r="BZ632" s="6"/>
      <c r="CA632" s="6"/>
      <c r="CB632" s="6"/>
      <c r="CC632" s="6"/>
      <c r="CD632" s="6"/>
      <c r="CE632" s="6"/>
      <c r="CF632" s="6"/>
      <c r="CG632" s="6"/>
    </row>
    <row r="633" spans="1:85" ht="15.75" customHeight="1">
      <c r="A633" s="52" t="s">
        <v>744</v>
      </c>
      <c r="B633" s="103"/>
      <c r="C633" s="68" t="s">
        <v>69</v>
      </c>
      <c r="D633" s="70" t="s">
        <v>70</v>
      </c>
      <c r="E633" s="56">
        <v>5000</v>
      </c>
      <c r="F633" s="99">
        <v>0</v>
      </c>
      <c r="G633" s="58">
        <f t="shared" ref="G633:G634" si="3309">E633-F633</f>
        <v>5000</v>
      </c>
      <c r="H633" s="99">
        <v>0</v>
      </c>
      <c r="I633" s="59">
        <f t="shared" si="3007"/>
        <v>1.2</v>
      </c>
      <c r="J633" s="59">
        <f t="shared" si="2705"/>
        <v>0.94448999999999994</v>
      </c>
      <c r="K633" s="74">
        <f>1000+1500+1500+2000</f>
        <v>6000</v>
      </c>
      <c r="L633" s="74">
        <v>0</v>
      </c>
      <c r="M633" s="74">
        <v>0</v>
      </c>
      <c r="N633" s="74">
        <v>0</v>
      </c>
      <c r="O633" s="63">
        <f t="shared" ref="O633:Q633" si="3310">AA633+AD633+AG633+AJ633+AM633+AP633+AS633+AV633+AY633+BB633+BE633+BH633</f>
        <v>4722.45</v>
      </c>
      <c r="P633" s="61">
        <f t="shared" si="3310"/>
        <v>0</v>
      </c>
      <c r="Q633" s="61">
        <f t="shared" si="3310"/>
        <v>0</v>
      </c>
      <c r="R633" s="61">
        <f t="shared" ref="R633:T633" si="3311">IF(BK633=0,SUM(AA633+AD633+AG633+AJ633+AM633+AP633+AS633+AV633+AY633+BB633+BE633+BH633),BK633)</f>
        <v>4722.45</v>
      </c>
      <c r="S633" s="61">
        <f t="shared" si="3311"/>
        <v>0</v>
      </c>
      <c r="T633" s="61">
        <f t="shared" si="3311"/>
        <v>0</v>
      </c>
      <c r="U633" s="62">
        <f t="shared" ref="U633:U634" si="3312">K633-O633</f>
        <v>1277.5500000000002</v>
      </c>
      <c r="V633" s="63">
        <f t="shared" ref="V633:V634" si="3313">L633-M633-S633</f>
        <v>0</v>
      </c>
      <c r="W633" s="63">
        <f t="shared" ref="W633:W634" si="3314">N633-Q633</f>
        <v>0</v>
      </c>
      <c r="X633" s="64">
        <f t="shared" ref="X633:Y633" si="3315">IF(O633&gt;0,O633/K633,0)</f>
        <v>0.78707499999999997</v>
      </c>
      <c r="Y633" s="64">
        <f t="shared" si="3315"/>
        <v>0</v>
      </c>
      <c r="Z633" s="64">
        <f t="shared" si="3262"/>
        <v>0</v>
      </c>
      <c r="AA633" s="65"/>
      <c r="AB633" s="65"/>
      <c r="AC633" s="65"/>
      <c r="AD633" s="65"/>
      <c r="AE633" s="66"/>
      <c r="AF633" s="66"/>
      <c r="AG633" s="66">
        <f>129.63+129.63+129.63+129.63+129.63+149.69+74.58-74.58</f>
        <v>797.83999999999992</v>
      </c>
      <c r="AH633" s="66"/>
      <c r="AI633" s="65"/>
      <c r="AJ633" s="65">
        <f>150.3+129.63</f>
        <v>279.93</v>
      </c>
      <c r="AK633" s="65"/>
      <c r="AL633" s="65"/>
      <c r="AM633" s="65">
        <f>120.54+1264.32+120.54+235.6+120.54+120.54+120.54</f>
        <v>2102.62</v>
      </c>
      <c r="AN633" s="65"/>
      <c r="AO633" s="65"/>
      <c r="AP633" s="65">
        <f>120.54+120.54+451.35+120.54+120.54+608.55</f>
        <v>1542.06</v>
      </c>
      <c r="AQ633" s="65"/>
      <c r="AR633" s="65"/>
      <c r="AS633" s="65"/>
      <c r="AT633" s="65"/>
      <c r="AU633" s="65"/>
      <c r="AV633" s="65"/>
      <c r="AW633" s="65"/>
      <c r="AX633" s="65"/>
      <c r="AY633" s="65"/>
      <c r="AZ633" s="65"/>
      <c r="BA633" s="65"/>
      <c r="BB633" s="65"/>
      <c r="BC633" s="65"/>
      <c r="BD633" s="65"/>
      <c r="BE633" s="65"/>
      <c r="BF633" s="65"/>
      <c r="BG633" s="65"/>
      <c r="BH633" s="65"/>
      <c r="BI633" s="65"/>
      <c r="BJ633" s="65"/>
      <c r="BK633" s="65">
        <v>0</v>
      </c>
      <c r="BL633" s="65">
        <v>0</v>
      </c>
      <c r="BM633" s="65">
        <v>0</v>
      </c>
      <c r="BN633" s="65">
        <f t="shared" ref="BN633:BN634" si="3316">IF(O633-BK633&gt;0,O633-BK633,0)</f>
        <v>4722.45</v>
      </c>
      <c r="BO633" s="67">
        <f t="shared" ref="BO633:BO634" si="3317">IF(Q633-BM633&gt;0,Q633-BM633,0)</f>
        <v>0</v>
      </c>
      <c r="BP633" s="65">
        <f t="shared" ref="BP633:BP634" si="3318">IF(BN633+BO633&gt;0,BN633+BO633,0)</f>
        <v>4722.45</v>
      </c>
      <c r="BQ633" s="65">
        <f t="shared" ref="BQ633:BQ634" si="3319">IF(U633=0,0,U633)</f>
        <v>1277.5500000000002</v>
      </c>
      <c r="BR633" s="65">
        <f t="shared" ref="BR633:BR634" si="3320">IF(W633=0,0,W633)</f>
        <v>0</v>
      </c>
      <c r="BS633" s="65">
        <f t="shared" ref="BS633:BS634" si="3321">IF(BQ633+BR633&gt;0,BQ633+BR633,0)</f>
        <v>1277.5500000000002</v>
      </c>
      <c r="BT633" s="65">
        <f t="shared" ref="BT633:BT634" si="3322">IF(V633&gt;0,V633,0)</f>
        <v>0</v>
      </c>
      <c r="BU633" s="65">
        <f t="shared" ref="BU633:BU634" si="3323">IF(BP633=0,0,BP633)</f>
        <v>4722.45</v>
      </c>
      <c r="BV633" s="65">
        <f t="shared" ref="BV633:BV634" si="3324">IF(BS633=0,0,BS633)</f>
        <v>1277.5500000000002</v>
      </c>
      <c r="BW633" s="65">
        <f t="shared" ref="BW633:BW634" si="3325">IF(BP633+BT633+BV633&gt;0,BP633+BT633+BV633,0)</f>
        <v>6000</v>
      </c>
      <c r="BX633" s="6"/>
      <c r="BY633" s="6"/>
      <c r="BZ633" s="6"/>
      <c r="CA633" s="6"/>
      <c r="CB633" s="6"/>
      <c r="CC633" s="6"/>
      <c r="CD633" s="6"/>
      <c r="CE633" s="6"/>
      <c r="CF633" s="6"/>
      <c r="CG633" s="6"/>
    </row>
    <row r="634" spans="1:85" ht="15.75" customHeight="1">
      <c r="A634" s="52" t="s">
        <v>745</v>
      </c>
      <c r="B634" s="103"/>
      <c r="C634" s="68" t="s">
        <v>73</v>
      </c>
      <c r="D634" s="105" t="s">
        <v>74</v>
      </c>
      <c r="E634" s="57">
        <v>0</v>
      </c>
      <c r="F634" s="99">
        <v>0</v>
      </c>
      <c r="G634" s="58">
        <f t="shared" si="3309"/>
        <v>0</v>
      </c>
      <c r="H634" s="99">
        <v>0</v>
      </c>
      <c r="I634" s="59">
        <f t="shared" si="3007"/>
        <v>0</v>
      </c>
      <c r="J634" s="59">
        <f t="shared" si="2705"/>
        <v>0</v>
      </c>
      <c r="K634" s="74">
        <f>1000+1000+1500</f>
        <v>3500</v>
      </c>
      <c r="L634" s="74">
        <v>0</v>
      </c>
      <c r="M634" s="74">
        <v>0</v>
      </c>
      <c r="N634" s="74">
        <v>0</v>
      </c>
      <c r="O634" s="63">
        <f t="shared" ref="O634:Q634" si="3326">AA634+AD634+AG634+AJ634+AM634+AP634+AS634+AV634+AY634+BB634+BE634+BH634</f>
        <v>2407.1999999999998</v>
      </c>
      <c r="P634" s="61">
        <f t="shared" si="3326"/>
        <v>0</v>
      </c>
      <c r="Q634" s="61">
        <f t="shared" si="3326"/>
        <v>0</v>
      </c>
      <c r="R634" s="61">
        <f t="shared" ref="R634:T634" si="3327">IF(BK634=0,SUM(AA634+AD634+AG634+AJ634+AM634+AP634+AS634+AV634+AY634+BB634+BE634+BH634),BK634)</f>
        <v>2407.1999999999998</v>
      </c>
      <c r="S634" s="61">
        <f t="shared" si="3327"/>
        <v>0</v>
      </c>
      <c r="T634" s="61">
        <f t="shared" si="3327"/>
        <v>0</v>
      </c>
      <c r="U634" s="62">
        <f t="shared" si="3312"/>
        <v>1092.8000000000002</v>
      </c>
      <c r="V634" s="63">
        <f t="shared" si="3313"/>
        <v>0</v>
      </c>
      <c r="W634" s="63">
        <f t="shared" si="3314"/>
        <v>0</v>
      </c>
      <c r="X634" s="64">
        <f t="shared" ref="X634:Y634" si="3328">IF(O634&gt;0,O634/K634,0)</f>
        <v>0.68777142857142848</v>
      </c>
      <c r="Y634" s="64">
        <f t="shared" si="3328"/>
        <v>0</v>
      </c>
      <c r="Z634" s="64">
        <f t="shared" si="3262"/>
        <v>0</v>
      </c>
      <c r="AA634" s="65"/>
      <c r="AB634" s="65"/>
      <c r="AC634" s="65"/>
      <c r="AD634" s="65"/>
      <c r="AE634" s="66"/>
      <c r="AF634" s="66"/>
      <c r="AG634" s="66">
        <f>150.45+150.45+150.45</f>
        <v>451.34999999999997</v>
      </c>
      <c r="AH634" s="66"/>
      <c r="AI634" s="65"/>
      <c r="AJ634" s="65"/>
      <c r="AK634" s="65"/>
      <c r="AL634" s="65"/>
      <c r="AM634" s="65">
        <f>150.45*4</f>
        <v>601.79999999999995</v>
      </c>
      <c r="AN634" s="65"/>
      <c r="AO634" s="65"/>
      <c r="AP634" s="65">
        <f>(150.45*4)+451.35+150.45+150.45</f>
        <v>1354.0500000000002</v>
      </c>
      <c r="AQ634" s="65"/>
      <c r="AR634" s="65"/>
      <c r="AS634" s="65"/>
      <c r="AT634" s="65"/>
      <c r="AU634" s="65"/>
      <c r="AV634" s="65"/>
      <c r="AW634" s="65"/>
      <c r="AX634" s="65"/>
      <c r="AY634" s="65"/>
      <c r="AZ634" s="65"/>
      <c r="BA634" s="65"/>
      <c r="BB634" s="65"/>
      <c r="BC634" s="65"/>
      <c r="BD634" s="65"/>
      <c r="BE634" s="65"/>
      <c r="BF634" s="65"/>
      <c r="BG634" s="65"/>
      <c r="BH634" s="65"/>
      <c r="BI634" s="65"/>
      <c r="BJ634" s="65"/>
      <c r="BK634" s="65">
        <v>0</v>
      </c>
      <c r="BL634" s="65">
        <v>0</v>
      </c>
      <c r="BM634" s="65">
        <v>0</v>
      </c>
      <c r="BN634" s="65">
        <f t="shared" si="3316"/>
        <v>2407.1999999999998</v>
      </c>
      <c r="BO634" s="67">
        <f t="shared" si="3317"/>
        <v>0</v>
      </c>
      <c r="BP634" s="65">
        <f t="shared" si="3318"/>
        <v>2407.1999999999998</v>
      </c>
      <c r="BQ634" s="65">
        <f t="shared" si="3319"/>
        <v>1092.8000000000002</v>
      </c>
      <c r="BR634" s="65">
        <f t="shared" si="3320"/>
        <v>0</v>
      </c>
      <c r="BS634" s="65">
        <f t="shared" si="3321"/>
        <v>1092.8000000000002</v>
      </c>
      <c r="BT634" s="65">
        <f t="shared" si="3322"/>
        <v>0</v>
      </c>
      <c r="BU634" s="65">
        <f t="shared" si="3323"/>
        <v>2407.1999999999998</v>
      </c>
      <c r="BV634" s="65">
        <f t="shared" si="3324"/>
        <v>1092.8000000000002</v>
      </c>
      <c r="BW634" s="65">
        <f t="shared" si="3325"/>
        <v>3500</v>
      </c>
      <c r="BX634" s="6"/>
      <c r="BY634" s="6"/>
      <c r="BZ634" s="6"/>
      <c r="CA634" s="6"/>
      <c r="CB634" s="6"/>
      <c r="CC634" s="6"/>
      <c r="CD634" s="6"/>
      <c r="CE634" s="6"/>
      <c r="CF634" s="6"/>
      <c r="CG634" s="6"/>
    </row>
    <row r="635" spans="1:85" ht="15.75" customHeight="1">
      <c r="A635" s="260"/>
      <c r="B635" s="261"/>
      <c r="C635" s="262"/>
      <c r="D635" s="78" t="s">
        <v>467</v>
      </c>
      <c r="E635" s="45">
        <f t="shared" ref="E635:H635" si="3329">E636</f>
        <v>0</v>
      </c>
      <c r="F635" s="46">
        <f t="shared" si="3329"/>
        <v>0</v>
      </c>
      <c r="G635" s="46">
        <f t="shared" si="3329"/>
        <v>0</v>
      </c>
      <c r="H635" s="46">
        <f t="shared" si="3329"/>
        <v>0</v>
      </c>
      <c r="I635" s="47">
        <f t="shared" si="3007"/>
        <v>0</v>
      </c>
      <c r="J635" s="47">
        <f t="shared" si="2705"/>
        <v>0</v>
      </c>
      <c r="K635" s="46">
        <f t="shared" ref="K635:W635" si="3330">K636</f>
        <v>0</v>
      </c>
      <c r="L635" s="46">
        <f t="shared" si="3330"/>
        <v>0</v>
      </c>
      <c r="M635" s="46">
        <f t="shared" si="3330"/>
        <v>0</v>
      </c>
      <c r="N635" s="46">
        <f t="shared" si="3330"/>
        <v>0</v>
      </c>
      <c r="O635" s="46">
        <f t="shared" si="3330"/>
        <v>0</v>
      </c>
      <c r="P635" s="46">
        <f t="shared" si="3330"/>
        <v>0</v>
      </c>
      <c r="Q635" s="46">
        <f t="shared" si="3330"/>
        <v>0</v>
      </c>
      <c r="R635" s="46">
        <f t="shared" si="3330"/>
        <v>0</v>
      </c>
      <c r="S635" s="46">
        <f t="shared" si="3330"/>
        <v>0</v>
      </c>
      <c r="T635" s="46">
        <f t="shared" si="3330"/>
        <v>0</v>
      </c>
      <c r="U635" s="46">
        <f t="shared" si="3330"/>
        <v>0</v>
      </c>
      <c r="V635" s="46">
        <f t="shared" si="3330"/>
        <v>0</v>
      </c>
      <c r="W635" s="46">
        <f t="shared" si="3330"/>
        <v>0</v>
      </c>
      <c r="X635" s="50">
        <f t="shared" ref="X635:Y635" si="3331">IF(O635&gt;0,O635/K635,0)</f>
        <v>0</v>
      </c>
      <c r="Y635" s="50">
        <f t="shared" si="3331"/>
        <v>0</v>
      </c>
      <c r="Z635" s="50">
        <f t="shared" si="3262"/>
        <v>0</v>
      </c>
      <c r="AA635" s="46">
        <f t="shared" ref="AA635:BW635" si="3332">AA636</f>
        <v>0</v>
      </c>
      <c r="AB635" s="46">
        <f t="shared" si="3332"/>
        <v>0</v>
      </c>
      <c r="AC635" s="46">
        <f t="shared" si="3332"/>
        <v>0</v>
      </c>
      <c r="AD635" s="46">
        <f t="shared" si="3332"/>
        <v>0</v>
      </c>
      <c r="AE635" s="46">
        <f t="shared" si="3332"/>
        <v>0</v>
      </c>
      <c r="AF635" s="46">
        <f t="shared" si="3332"/>
        <v>0</v>
      </c>
      <c r="AG635" s="46">
        <f t="shared" si="3332"/>
        <v>0</v>
      </c>
      <c r="AH635" s="46">
        <f t="shared" si="3332"/>
        <v>0</v>
      </c>
      <c r="AI635" s="46">
        <f t="shared" si="3332"/>
        <v>0</v>
      </c>
      <c r="AJ635" s="46">
        <f t="shared" si="3332"/>
        <v>0</v>
      </c>
      <c r="AK635" s="46">
        <f t="shared" si="3332"/>
        <v>0</v>
      </c>
      <c r="AL635" s="46">
        <f t="shared" si="3332"/>
        <v>0</v>
      </c>
      <c r="AM635" s="46">
        <f t="shared" si="3332"/>
        <v>0</v>
      </c>
      <c r="AN635" s="46">
        <f t="shared" si="3332"/>
        <v>0</v>
      </c>
      <c r="AO635" s="46">
        <f t="shared" si="3332"/>
        <v>0</v>
      </c>
      <c r="AP635" s="46">
        <f t="shared" si="3332"/>
        <v>0</v>
      </c>
      <c r="AQ635" s="46">
        <f t="shared" si="3332"/>
        <v>0</v>
      </c>
      <c r="AR635" s="46">
        <f t="shared" si="3332"/>
        <v>0</v>
      </c>
      <c r="AS635" s="46">
        <f t="shared" si="3332"/>
        <v>0</v>
      </c>
      <c r="AT635" s="46">
        <f t="shared" si="3332"/>
        <v>0</v>
      </c>
      <c r="AU635" s="46">
        <f t="shared" si="3332"/>
        <v>0</v>
      </c>
      <c r="AV635" s="46">
        <f t="shared" si="3332"/>
        <v>0</v>
      </c>
      <c r="AW635" s="46">
        <f t="shared" si="3332"/>
        <v>0</v>
      </c>
      <c r="AX635" s="46">
        <f t="shared" si="3332"/>
        <v>0</v>
      </c>
      <c r="AY635" s="46">
        <f t="shared" si="3332"/>
        <v>0</v>
      </c>
      <c r="AZ635" s="46">
        <f t="shared" si="3332"/>
        <v>0</v>
      </c>
      <c r="BA635" s="46">
        <f t="shared" si="3332"/>
        <v>0</v>
      </c>
      <c r="BB635" s="46">
        <f t="shared" si="3332"/>
        <v>0</v>
      </c>
      <c r="BC635" s="46">
        <f t="shared" si="3332"/>
        <v>0</v>
      </c>
      <c r="BD635" s="46">
        <f t="shared" si="3332"/>
        <v>0</v>
      </c>
      <c r="BE635" s="46">
        <f t="shared" si="3332"/>
        <v>0</v>
      </c>
      <c r="BF635" s="46">
        <f t="shared" si="3332"/>
        <v>0</v>
      </c>
      <c r="BG635" s="46">
        <f t="shared" si="3332"/>
        <v>0</v>
      </c>
      <c r="BH635" s="46">
        <f t="shared" si="3332"/>
        <v>0</v>
      </c>
      <c r="BI635" s="46">
        <f t="shared" si="3332"/>
        <v>0</v>
      </c>
      <c r="BJ635" s="46">
        <f t="shared" si="3332"/>
        <v>0</v>
      </c>
      <c r="BK635" s="46">
        <f t="shared" si="3332"/>
        <v>0</v>
      </c>
      <c r="BL635" s="46">
        <f t="shared" si="3332"/>
        <v>0</v>
      </c>
      <c r="BM635" s="46">
        <f t="shared" si="3332"/>
        <v>0</v>
      </c>
      <c r="BN635" s="46">
        <f t="shared" si="3332"/>
        <v>0</v>
      </c>
      <c r="BO635" s="46">
        <f t="shared" si="3332"/>
        <v>0</v>
      </c>
      <c r="BP635" s="46">
        <f t="shared" si="3332"/>
        <v>0</v>
      </c>
      <c r="BQ635" s="46">
        <f t="shared" si="3332"/>
        <v>0</v>
      </c>
      <c r="BR635" s="46">
        <f t="shared" si="3332"/>
        <v>0</v>
      </c>
      <c r="BS635" s="46">
        <f t="shared" si="3332"/>
        <v>0</v>
      </c>
      <c r="BT635" s="46">
        <f t="shared" si="3332"/>
        <v>0</v>
      </c>
      <c r="BU635" s="46">
        <f t="shared" si="3332"/>
        <v>0</v>
      </c>
      <c r="BV635" s="46">
        <f t="shared" si="3332"/>
        <v>0</v>
      </c>
      <c r="BW635" s="46">
        <f t="shared" si="3332"/>
        <v>0</v>
      </c>
      <c r="BX635" s="6"/>
      <c r="BY635" s="6"/>
      <c r="BZ635" s="6"/>
      <c r="CA635" s="6"/>
      <c r="CB635" s="6"/>
      <c r="CC635" s="6"/>
      <c r="CD635" s="6"/>
      <c r="CE635" s="6"/>
      <c r="CF635" s="6"/>
      <c r="CG635" s="6"/>
    </row>
    <row r="636" spans="1:85" ht="15.75" customHeight="1">
      <c r="A636" s="68"/>
      <c r="B636" s="103"/>
      <c r="C636" s="68" t="s">
        <v>667</v>
      </c>
      <c r="D636" s="368" t="s">
        <v>668</v>
      </c>
      <c r="E636" s="99">
        <v>0</v>
      </c>
      <c r="F636" s="99">
        <v>0</v>
      </c>
      <c r="G636" s="58">
        <f>E636-F636</f>
        <v>0</v>
      </c>
      <c r="H636" s="99">
        <v>0</v>
      </c>
      <c r="I636" s="59">
        <f t="shared" si="3007"/>
        <v>0</v>
      </c>
      <c r="J636" s="59">
        <f t="shared" si="2705"/>
        <v>0</v>
      </c>
      <c r="K636" s="74">
        <v>0</v>
      </c>
      <c r="L636" s="74">
        <v>0</v>
      </c>
      <c r="M636" s="74">
        <v>0</v>
      </c>
      <c r="N636" s="74">
        <v>0</v>
      </c>
      <c r="O636" s="61">
        <f t="shared" ref="O636:Q636" si="3333">AA636+AD636+AG636+AJ636+AM636+AP636+AS636+AV636+AY636+BB636+BE636+BH636</f>
        <v>0</v>
      </c>
      <c r="P636" s="61">
        <f t="shared" si="3333"/>
        <v>0</v>
      </c>
      <c r="Q636" s="61">
        <f t="shared" si="3333"/>
        <v>0</v>
      </c>
      <c r="R636" s="61">
        <f t="shared" ref="R636:T636" si="3334">IF(BK636=0,SUM(AA636+AD636+AG636+AJ636+AM636+AP636+AS636+AV636+AY636+BB636+BE636+BH636),BK636)</f>
        <v>0</v>
      </c>
      <c r="S636" s="61">
        <f t="shared" si="3334"/>
        <v>0</v>
      </c>
      <c r="T636" s="61">
        <f t="shared" si="3334"/>
        <v>0</v>
      </c>
      <c r="U636" s="208">
        <f>K636-O636</f>
        <v>0</v>
      </c>
      <c r="V636" s="63">
        <f>L636-M636-S636</f>
        <v>0</v>
      </c>
      <c r="W636" s="63">
        <f>N636-Q636</f>
        <v>0</v>
      </c>
      <c r="X636" s="64">
        <f t="shared" ref="X636:Y636" si="3335">IF(O636&gt;0,O636/K636,0)</f>
        <v>0</v>
      </c>
      <c r="Y636" s="64">
        <f t="shared" si="3335"/>
        <v>0</v>
      </c>
      <c r="Z636" s="64">
        <f t="shared" si="3262"/>
        <v>0</v>
      </c>
      <c r="AA636" s="65"/>
      <c r="AB636" s="65"/>
      <c r="AC636" s="65"/>
      <c r="AD636" s="65"/>
      <c r="AE636" s="66"/>
      <c r="AF636" s="66"/>
      <c r="AG636" s="66"/>
      <c r="AH636" s="66"/>
      <c r="AI636" s="65"/>
      <c r="AJ636" s="65"/>
      <c r="AK636" s="65"/>
      <c r="AL636" s="65"/>
      <c r="AM636" s="65"/>
      <c r="AN636" s="65"/>
      <c r="AO636" s="65"/>
      <c r="AP636" s="65"/>
      <c r="AQ636" s="65"/>
      <c r="AR636" s="65"/>
      <c r="AS636" s="65"/>
      <c r="AT636" s="65"/>
      <c r="AU636" s="65"/>
      <c r="AV636" s="65"/>
      <c r="AW636" s="65"/>
      <c r="AX636" s="65"/>
      <c r="AY636" s="65"/>
      <c r="AZ636" s="65"/>
      <c r="BA636" s="65"/>
      <c r="BB636" s="65"/>
      <c r="BC636" s="65"/>
      <c r="BD636" s="65"/>
      <c r="BE636" s="65"/>
      <c r="BF636" s="65"/>
      <c r="BG636" s="65"/>
      <c r="BH636" s="65"/>
      <c r="BI636" s="65"/>
      <c r="BJ636" s="65"/>
      <c r="BK636" s="65">
        <v>0</v>
      </c>
      <c r="BL636" s="65">
        <v>0</v>
      </c>
      <c r="BM636" s="65">
        <v>0</v>
      </c>
      <c r="BN636" s="65">
        <f>IF(O636-BK636&gt;0,O636-BK636,0)</f>
        <v>0</v>
      </c>
      <c r="BO636" s="67">
        <f>IF(Q636-BM636&gt;0,Q636-BM636,0)</f>
        <v>0</v>
      </c>
      <c r="BP636" s="65">
        <f>IF(BN636+BO636&gt;0,BN636+BO636,0)</f>
        <v>0</v>
      </c>
      <c r="BQ636" s="65">
        <f>IF(U636=0,0,U636)</f>
        <v>0</v>
      </c>
      <c r="BR636" s="65">
        <f>IF(W636=0,0,W636)</f>
        <v>0</v>
      </c>
      <c r="BS636" s="65">
        <f>IF(BQ636+BR636&gt;0,BQ636+BR636,0)</f>
        <v>0</v>
      </c>
      <c r="BT636" s="65">
        <f>IF(V636&gt;0,V636,0)</f>
        <v>0</v>
      </c>
      <c r="BU636" s="65">
        <f>IF(BP636=0,0,BP636)</f>
        <v>0</v>
      </c>
      <c r="BV636" s="65">
        <f>IF(BS636=0,0,BS636)</f>
        <v>0</v>
      </c>
      <c r="BW636" s="65">
        <f>IF(BP636+BT636+BV636&gt;0,BP636+BT636+BV636,0)</f>
        <v>0</v>
      </c>
      <c r="BX636" s="6"/>
      <c r="BY636" s="6"/>
      <c r="BZ636" s="6"/>
      <c r="CA636" s="6"/>
      <c r="CB636" s="6"/>
      <c r="CC636" s="6"/>
      <c r="CD636" s="6"/>
      <c r="CE636" s="6"/>
      <c r="CF636" s="6"/>
      <c r="CG636" s="6"/>
    </row>
    <row r="637" spans="1:85" ht="15.75">
      <c r="A637" s="75"/>
      <c r="B637" s="76"/>
      <c r="C637" s="77"/>
      <c r="D637" s="78" t="s">
        <v>83</v>
      </c>
      <c r="E637" s="45">
        <f t="shared" ref="E637:H637" si="3336">SUM(E638:E692)</f>
        <v>512913.82</v>
      </c>
      <c r="F637" s="45">
        <f t="shared" si="3336"/>
        <v>0</v>
      </c>
      <c r="G637" s="45">
        <f t="shared" si="3336"/>
        <v>512913.82</v>
      </c>
      <c r="H637" s="45">
        <f t="shared" si="3336"/>
        <v>0</v>
      </c>
      <c r="I637" s="47">
        <f t="shared" si="3007"/>
        <v>0.68272892315516109</v>
      </c>
      <c r="J637" s="47">
        <f t="shared" si="2705"/>
        <v>0.60716815936057289</v>
      </c>
      <c r="K637" s="45">
        <f t="shared" ref="K637:W637" si="3337">SUM(K638:K692)</f>
        <v>350181.10000000015</v>
      </c>
      <c r="L637" s="45">
        <f t="shared" si="3337"/>
        <v>95401.41</v>
      </c>
      <c r="M637" s="45">
        <f t="shared" si="3337"/>
        <v>0</v>
      </c>
      <c r="N637" s="45">
        <f t="shared" si="3337"/>
        <v>0</v>
      </c>
      <c r="O637" s="45">
        <f t="shared" si="3337"/>
        <v>311424.94000000018</v>
      </c>
      <c r="P637" s="45">
        <f t="shared" si="3337"/>
        <v>84491</v>
      </c>
      <c r="Q637" s="45">
        <f t="shared" si="3337"/>
        <v>0</v>
      </c>
      <c r="R637" s="45">
        <f t="shared" si="3337"/>
        <v>311424.94000000018</v>
      </c>
      <c r="S637" s="45">
        <f t="shared" si="3337"/>
        <v>84491</v>
      </c>
      <c r="T637" s="45">
        <f t="shared" si="3337"/>
        <v>0</v>
      </c>
      <c r="U637" s="45">
        <f t="shared" si="3337"/>
        <v>38756.160000000003</v>
      </c>
      <c r="V637" s="45">
        <f t="shared" si="3337"/>
        <v>10910.41</v>
      </c>
      <c r="W637" s="45">
        <f t="shared" si="3337"/>
        <v>0</v>
      </c>
      <c r="X637" s="50">
        <f t="shared" ref="X637:Y637" si="3338">IF(O637&gt;0,O637/K637,0)</f>
        <v>0.88932538049597776</v>
      </c>
      <c r="Y637" s="50">
        <f t="shared" si="3338"/>
        <v>0.88563680557761149</v>
      </c>
      <c r="Z637" s="50">
        <f t="shared" si="3262"/>
        <v>0</v>
      </c>
      <c r="AA637" s="45">
        <f t="shared" ref="AA637:BW637" si="3339">SUM(AA638:AA692)</f>
        <v>0</v>
      </c>
      <c r="AB637" s="45">
        <f t="shared" si="3339"/>
        <v>0</v>
      </c>
      <c r="AC637" s="45">
        <f t="shared" si="3339"/>
        <v>0</v>
      </c>
      <c r="AD637" s="45">
        <f t="shared" si="3339"/>
        <v>10695</v>
      </c>
      <c r="AE637" s="45">
        <f t="shared" si="3339"/>
        <v>64250</v>
      </c>
      <c r="AF637" s="45">
        <f t="shared" si="3339"/>
        <v>0</v>
      </c>
      <c r="AG637" s="45">
        <f t="shared" si="3339"/>
        <v>46200</v>
      </c>
      <c r="AH637" s="45">
        <f t="shared" si="3339"/>
        <v>19793</v>
      </c>
      <c r="AI637" s="45">
        <f t="shared" si="3339"/>
        <v>0</v>
      </c>
      <c r="AJ637" s="45">
        <f t="shared" si="3339"/>
        <v>22089</v>
      </c>
      <c r="AK637" s="45">
        <f t="shared" si="3339"/>
        <v>448</v>
      </c>
      <c r="AL637" s="45">
        <f t="shared" si="3339"/>
        <v>0</v>
      </c>
      <c r="AM637" s="45">
        <f t="shared" si="3339"/>
        <v>132000</v>
      </c>
      <c r="AN637" s="45">
        <f t="shared" si="3339"/>
        <v>0</v>
      </c>
      <c r="AO637" s="45">
        <f t="shared" si="3339"/>
        <v>0</v>
      </c>
      <c r="AP637" s="45">
        <f t="shared" si="3339"/>
        <v>100440.93999999999</v>
      </c>
      <c r="AQ637" s="45">
        <f t="shared" si="3339"/>
        <v>0</v>
      </c>
      <c r="AR637" s="45">
        <f t="shared" si="3339"/>
        <v>0</v>
      </c>
      <c r="AS637" s="45">
        <f t="shared" si="3339"/>
        <v>0</v>
      </c>
      <c r="AT637" s="45">
        <f t="shared" si="3339"/>
        <v>0</v>
      </c>
      <c r="AU637" s="45">
        <f t="shared" si="3339"/>
        <v>0</v>
      </c>
      <c r="AV637" s="45">
        <f t="shared" si="3339"/>
        <v>0</v>
      </c>
      <c r="AW637" s="45">
        <f t="shared" si="3339"/>
        <v>0</v>
      </c>
      <c r="AX637" s="45">
        <f t="shared" si="3339"/>
        <v>0</v>
      </c>
      <c r="AY637" s="45">
        <f t="shared" si="3339"/>
        <v>0</v>
      </c>
      <c r="AZ637" s="45">
        <f t="shared" si="3339"/>
        <v>0</v>
      </c>
      <c r="BA637" s="45">
        <f t="shared" si="3339"/>
        <v>0</v>
      </c>
      <c r="BB637" s="45">
        <f t="shared" si="3339"/>
        <v>0</v>
      </c>
      <c r="BC637" s="45">
        <f t="shared" si="3339"/>
        <v>0</v>
      </c>
      <c r="BD637" s="45">
        <f t="shared" si="3339"/>
        <v>0</v>
      </c>
      <c r="BE637" s="45">
        <f t="shared" si="3339"/>
        <v>0</v>
      </c>
      <c r="BF637" s="45">
        <f t="shared" si="3339"/>
        <v>0</v>
      </c>
      <c r="BG637" s="45">
        <f t="shared" si="3339"/>
        <v>0</v>
      </c>
      <c r="BH637" s="45">
        <f t="shared" si="3339"/>
        <v>0</v>
      </c>
      <c r="BI637" s="45">
        <f t="shared" si="3339"/>
        <v>0</v>
      </c>
      <c r="BJ637" s="45">
        <f t="shared" si="3339"/>
        <v>0</v>
      </c>
      <c r="BK637" s="45">
        <f t="shared" si="3339"/>
        <v>0</v>
      </c>
      <c r="BL637" s="45">
        <f t="shared" si="3339"/>
        <v>0</v>
      </c>
      <c r="BM637" s="45">
        <f t="shared" si="3339"/>
        <v>0</v>
      </c>
      <c r="BN637" s="45">
        <f t="shared" si="3339"/>
        <v>310765.86000000016</v>
      </c>
      <c r="BO637" s="45">
        <f t="shared" si="3339"/>
        <v>0</v>
      </c>
      <c r="BP637" s="45">
        <f t="shared" si="3339"/>
        <v>310765.86000000016</v>
      </c>
      <c r="BQ637" s="45">
        <f t="shared" si="3339"/>
        <v>38376.410000000003</v>
      </c>
      <c r="BR637" s="45">
        <f t="shared" si="3339"/>
        <v>0</v>
      </c>
      <c r="BS637" s="45">
        <f t="shared" si="3339"/>
        <v>38376.410000000003</v>
      </c>
      <c r="BT637" s="45">
        <f t="shared" si="3339"/>
        <v>10910.41</v>
      </c>
      <c r="BU637" s="45">
        <f t="shared" si="3339"/>
        <v>310765.86000000016</v>
      </c>
      <c r="BV637" s="45">
        <f t="shared" si="3339"/>
        <v>38376.410000000003</v>
      </c>
      <c r="BW637" s="45">
        <f t="shared" si="3339"/>
        <v>360052.68000000017</v>
      </c>
      <c r="BX637" s="51"/>
      <c r="BY637" s="51"/>
      <c r="BZ637" s="51"/>
      <c r="CA637" s="51"/>
      <c r="CB637" s="51"/>
      <c r="CC637" s="51"/>
      <c r="CD637" s="51"/>
      <c r="CE637" s="51"/>
      <c r="CF637" s="51"/>
      <c r="CG637" s="51"/>
    </row>
    <row r="638" spans="1:85" ht="15.75" customHeight="1">
      <c r="A638" s="68"/>
      <c r="B638" s="103"/>
      <c r="C638" s="68" t="s">
        <v>84</v>
      </c>
      <c r="D638" s="122" t="s">
        <v>499</v>
      </c>
      <c r="E638" s="56">
        <f>52500+15000</f>
        <v>67500</v>
      </c>
      <c r="F638" s="99">
        <v>0</v>
      </c>
      <c r="G638" s="58">
        <f t="shared" ref="G638:G692" si="3340">E638-F638</f>
        <v>67500</v>
      </c>
      <c r="H638" s="99">
        <v>0</v>
      </c>
      <c r="I638" s="59">
        <f t="shared" si="3007"/>
        <v>0</v>
      </c>
      <c r="J638" s="59">
        <f t="shared" si="2705"/>
        <v>0</v>
      </c>
      <c r="K638" s="74">
        <v>0</v>
      </c>
      <c r="L638" s="74">
        <v>0</v>
      </c>
      <c r="M638" s="74">
        <v>0</v>
      </c>
      <c r="N638" s="74">
        <v>0</v>
      </c>
      <c r="O638" s="61">
        <f t="shared" ref="O638:Q638" si="3341">AA638+AD638+AG638+AJ638+AM638+AP638+AS638+AV638+AY638+BB638+BE638+BH638</f>
        <v>0</v>
      </c>
      <c r="P638" s="61">
        <f t="shared" si="3341"/>
        <v>0</v>
      </c>
      <c r="Q638" s="61">
        <f t="shared" si="3341"/>
        <v>0</v>
      </c>
      <c r="R638" s="61">
        <f t="shared" ref="R638:T638" si="3342">IF(BK638=0,SUM(AA638+AD638+AG638+AJ638+AM638+AP638+AS638+AV638+AY638+BB638+BE638+BH638),BK638)</f>
        <v>0</v>
      </c>
      <c r="S638" s="61">
        <f t="shared" si="3342"/>
        <v>0</v>
      </c>
      <c r="T638" s="61">
        <f t="shared" si="3342"/>
        <v>0</v>
      </c>
      <c r="U638" s="63">
        <f t="shared" ref="U638:U692" si="3343">K638-O638</f>
        <v>0</v>
      </c>
      <c r="V638" s="63">
        <f t="shared" ref="V638:V692" si="3344">L638-M638-S638</f>
        <v>0</v>
      </c>
      <c r="W638" s="63">
        <f t="shared" ref="W638:W692" si="3345">N638-Q638</f>
        <v>0</v>
      </c>
      <c r="X638" s="64">
        <f t="shared" ref="X638:Y638" si="3346">IF(O638&gt;0,O638/K638,0)</f>
        <v>0</v>
      </c>
      <c r="Y638" s="64">
        <f t="shared" si="3346"/>
        <v>0</v>
      </c>
      <c r="Z638" s="64">
        <f t="shared" si="3262"/>
        <v>0</v>
      </c>
      <c r="AA638" s="65"/>
      <c r="AB638" s="65"/>
      <c r="AC638" s="65"/>
      <c r="AD638" s="65"/>
      <c r="AE638" s="66"/>
      <c r="AF638" s="66"/>
      <c r="AG638" s="66"/>
      <c r="AH638" s="66"/>
      <c r="AI638" s="65"/>
      <c r="AJ638" s="65"/>
      <c r="AK638" s="65"/>
      <c r="AL638" s="65"/>
      <c r="AM638" s="65"/>
      <c r="AN638" s="65"/>
      <c r="AO638" s="65"/>
      <c r="AP638" s="65"/>
      <c r="AQ638" s="65"/>
      <c r="AR638" s="65"/>
      <c r="AS638" s="65"/>
      <c r="AT638" s="65"/>
      <c r="AU638" s="65"/>
      <c r="AV638" s="65"/>
      <c r="AW638" s="65"/>
      <c r="AX638" s="65"/>
      <c r="AY638" s="65"/>
      <c r="AZ638" s="65"/>
      <c r="BA638" s="65"/>
      <c r="BB638" s="65"/>
      <c r="BC638" s="65"/>
      <c r="BD638" s="65"/>
      <c r="BE638" s="65"/>
      <c r="BF638" s="65"/>
      <c r="BG638" s="65"/>
      <c r="BH638" s="65"/>
      <c r="BI638" s="65"/>
      <c r="BJ638" s="65"/>
      <c r="BK638" s="65">
        <v>0</v>
      </c>
      <c r="BL638" s="65">
        <v>0</v>
      </c>
      <c r="BM638" s="65">
        <v>0</v>
      </c>
      <c r="BN638" s="65">
        <f t="shared" ref="BN638:BN670" si="3347">IF(O638-BK638&gt;0,O638-BK638,0)</f>
        <v>0</v>
      </c>
      <c r="BO638" s="67">
        <f t="shared" ref="BO638:BO670" si="3348">IF(Q638-BM638&gt;0,Q638-BM638,0)</f>
        <v>0</v>
      </c>
      <c r="BP638" s="65">
        <f t="shared" ref="BP638:BP670" si="3349">IF(BN638+BO638&gt;0,BN638+BO638,0)</f>
        <v>0</v>
      </c>
      <c r="BQ638" s="65">
        <f t="shared" ref="BQ638:BQ670" si="3350">IF(U638=0,0,U638)</f>
        <v>0</v>
      </c>
      <c r="BR638" s="65">
        <f t="shared" ref="BR638:BR670" si="3351">IF(W638=0,0,W638)</f>
        <v>0</v>
      </c>
      <c r="BS638" s="65">
        <f t="shared" ref="BS638:BS670" si="3352">IF(BQ638+BR638&gt;0,BQ638+BR638,0)</f>
        <v>0</v>
      </c>
      <c r="BT638" s="65">
        <f t="shared" ref="BT638:BT670" si="3353">IF(V638&gt;0,V638,0)</f>
        <v>0</v>
      </c>
      <c r="BU638" s="65">
        <f t="shared" ref="BU638:BU670" si="3354">IF(BP638=0,0,BP638)</f>
        <v>0</v>
      </c>
      <c r="BV638" s="65">
        <f t="shared" ref="BV638:BV670" si="3355">IF(BS638=0,0,BS638)</f>
        <v>0</v>
      </c>
      <c r="BW638" s="65">
        <f t="shared" ref="BW638:BW670" si="3356">IF(BP638+BT638+BV638&gt;0,BP638+BT638+BV638,0)</f>
        <v>0</v>
      </c>
      <c r="BX638" s="6"/>
      <c r="BY638" s="6"/>
      <c r="BZ638" s="6"/>
      <c r="CA638" s="6"/>
      <c r="CB638" s="6"/>
      <c r="CC638" s="6"/>
      <c r="CD638" s="6"/>
      <c r="CE638" s="6"/>
      <c r="CF638" s="6"/>
      <c r="CG638" s="6"/>
    </row>
    <row r="639" spans="1:85" ht="15.75" customHeight="1">
      <c r="A639" s="68"/>
      <c r="B639" s="68" t="s">
        <v>746</v>
      </c>
      <c r="C639" s="68" t="s">
        <v>86</v>
      </c>
      <c r="D639" s="122" t="s">
        <v>747</v>
      </c>
      <c r="E639" s="56">
        <v>30000</v>
      </c>
      <c r="F639" s="99">
        <v>0</v>
      </c>
      <c r="G639" s="58">
        <f t="shared" si="3340"/>
        <v>30000</v>
      </c>
      <c r="H639" s="99">
        <v>0</v>
      </c>
      <c r="I639" s="59">
        <f t="shared" si="3007"/>
        <v>0</v>
      </c>
      <c r="J639" s="59">
        <f t="shared" si="2705"/>
        <v>0</v>
      </c>
      <c r="K639" s="74">
        <v>0</v>
      </c>
      <c r="L639" s="376">
        <v>2304</v>
      </c>
      <c r="M639" s="100">
        <v>0</v>
      </c>
      <c r="N639" s="60">
        <v>0</v>
      </c>
      <c r="O639" s="61">
        <f t="shared" ref="O639:Q639" si="3357">AA639+AD639+AG639+AJ639+AM639+AP639+AS639+AV639+AY639+BB639+BE639+BH639</f>
        <v>0</v>
      </c>
      <c r="P639" s="61">
        <f t="shared" si="3357"/>
        <v>896</v>
      </c>
      <c r="Q639" s="61">
        <f t="shared" si="3357"/>
        <v>0</v>
      </c>
      <c r="R639" s="61">
        <f t="shared" ref="R639:T639" si="3358">IF(BK639=0,SUM(AA639+AD639+AG639+AJ639+AM639+AP639+AS639+AV639+AY639+BB639+BE639+BH639),BK639)</f>
        <v>0</v>
      </c>
      <c r="S639" s="61">
        <f t="shared" si="3358"/>
        <v>896</v>
      </c>
      <c r="T639" s="61">
        <f t="shared" si="3358"/>
        <v>0</v>
      </c>
      <c r="U639" s="63">
        <f t="shared" si="3343"/>
        <v>0</v>
      </c>
      <c r="V639" s="62">
        <f t="shared" si="3344"/>
        <v>1408</v>
      </c>
      <c r="W639" s="63">
        <f t="shared" si="3345"/>
        <v>0</v>
      </c>
      <c r="X639" s="64">
        <f t="shared" ref="X639:Y639" si="3359">IF(O639&gt;0,O639/K639,0)</f>
        <v>0</v>
      </c>
      <c r="Y639" s="64">
        <f t="shared" si="3359"/>
        <v>0.3888888888888889</v>
      </c>
      <c r="Z639" s="64">
        <f t="shared" si="3262"/>
        <v>0</v>
      </c>
      <c r="AA639" s="65"/>
      <c r="AB639" s="65"/>
      <c r="AC639" s="65"/>
      <c r="AD639" s="65"/>
      <c r="AE639" s="66"/>
      <c r="AF639" s="66"/>
      <c r="AG639" s="66"/>
      <c r="AH639" s="66">
        <f>448</f>
        <v>448</v>
      </c>
      <c r="AI639" s="65"/>
      <c r="AJ639" s="65"/>
      <c r="AK639" s="100">
        <v>448</v>
      </c>
      <c r="AL639" s="65"/>
      <c r="AM639" s="65"/>
      <c r="AN639" s="65"/>
      <c r="AO639" s="65"/>
      <c r="AP639" s="65"/>
      <c r="AQ639" s="65"/>
      <c r="AR639" s="65"/>
      <c r="AS639" s="65"/>
      <c r="AT639" s="65"/>
      <c r="AU639" s="65"/>
      <c r="AV639" s="65"/>
      <c r="AW639" s="65"/>
      <c r="AX639" s="65"/>
      <c r="AY639" s="65"/>
      <c r="AZ639" s="65"/>
      <c r="BA639" s="65"/>
      <c r="BB639" s="65"/>
      <c r="BC639" s="65"/>
      <c r="BD639" s="65"/>
      <c r="BE639" s="65"/>
      <c r="BF639" s="65"/>
      <c r="BG639" s="65"/>
      <c r="BH639" s="65"/>
      <c r="BI639" s="65"/>
      <c r="BJ639" s="65"/>
      <c r="BK639" s="65">
        <v>0</v>
      </c>
      <c r="BL639" s="65">
        <v>0</v>
      </c>
      <c r="BM639" s="65">
        <v>0</v>
      </c>
      <c r="BN639" s="65">
        <f t="shared" si="3347"/>
        <v>0</v>
      </c>
      <c r="BO639" s="67">
        <f t="shared" si="3348"/>
        <v>0</v>
      </c>
      <c r="BP639" s="65">
        <f t="shared" si="3349"/>
        <v>0</v>
      </c>
      <c r="BQ639" s="65">
        <f t="shared" si="3350"/>
        <v>0</v>
      </c>
      <c r="BR639" s="65">
        <f t="shared" si="3351"/>
        <v>0</v>
      </c>
      <c r="BS639" s="65">
        <f t="shared" si="3352"/>
        <v>0</v>
      </c>
      <c r="BT639" s="65">
        <f t="shared" si="3353"/>
        <v>1408</v>
      </c>
      <c r="BU639" s="65">
        <f t="shared" si="3354"/>
        <v>0</v>
      </c>
      <c r="BV639" s="65">
        <f t="shared" si="3355"/>
        <v>0</v>
      </c>
      <c r="BW639" s="65">
        <f t="shared" si="3356"/>
        <v>1408</v>
      </c>
      <c r="BX639" s="6"/>
      <c r="BY639" s="6"/>
      <c r="BZ639" s="6"/>
      <c r="CA639" s="6"/>
      <c r="CB639" s="6"/>
      <c r="CC639" s="6"/>
      <c r="CD639" s="6"/>
      <c r="CE639" s="6"/>
      <c r="CF639" s="6"/>
      <c r="CG639" s="6"/>
    </row>
    <row r="640" spans="1:85" ht="15.75" customHeight="1">
      <c r="A640" s="121"/>
      <c r="B640" s="189" t="s">
        <v>748</v>
      </c>
      <c r="C640" s="68" t="s">
        <v>535</v>
      </c>
      <c r="D640" s="122" t="s">
        <v>749</v>
      </c>
      <c r="E640" s="99">
        <v>0</v>
      </c>
      <c r="F640" s="99">
        <v>0</v>
      </c>
      <c r="G640" s="58">
        <f t="shared" si="3340"/>
        <v>0</v>
      </c>
      <c r="H640" s="99">
        <v>0</v>
      </c>
      <c r="I640" s="59">
        <f t="shared" si="3007"/>
        <v>0</v>
      </c>
      <c r="J640" s="59">
        <f t="shared" si="2705"/>
        <v>0</v>
      </c>
      <c r="K640" s="74">
        <v>0</v>
      </c>
      <c r="L640" s="74">
        <v>0</v>
      </c>
      <c r="M640" s="74">
        <v>0</v>
      </c>
      <c r="N640" s="74">
        <v>0</v>
      </c>
      <c r="O640" s="61">
        <f t="shared" ref="O640:Q640" si="3360">AA640+AD640+AG640+AJ640+AM640+AP640+AS640+AV640+AY640+BB640+BE640+BH640</f>
        <v>0</v>
      </c>
      <c r="P640" s="61">
        <f t="shared" si="3360"/>
        <v>0</v>
      </c>
      <c r="Q640" s="61">
        <f t="shared" si="3360"/>
        <v>0</v>
      </c>
      <c r="R640" s="61">
        <f t="shared" ref="R640:T640" si="3361">IF(BK640=0,SUM(AA640+AD640+AG640+AJ640+AM640+AP640+AS640+AV640+AY640+BB640+BE640+BH640),BK640)</f>
        <v>0</v>
      </c>
      <c r="S640" s="61">
        <f t="shared" si="3361"/>
        <v>0</v>
      </c>
      <c r="T640" s="61">
        <f t="shared" si="3361"/>
        <v>0</v>
      </c>
      <c r="U640" s="63">
        <f t="shared" si="3343"/>
        <v>0</v>
      </c>
      <c r="V640" s="63">
        <f t="shared" si="3344"/>
        <v>0</v>
      </c>
      <c r="W640" s="63">
        <f t="shared" si="3345"/>
        <v>0</v>
      </c>
      <c r="X640" s="64">
        <f t="shared" ref="X640:Y640" si="3362">IF(O640&gt;0,O640/K640,0)</f>
        <v>0</v>
      </c>
      <c r="Y640" s="64">
        <f t="shared" si="3362"/>
        <v>0</v>
      </c>
      <c r="Z640" s="64">
        <f t="shared" si="3262"/>
        <v>0</v>
      </c>
      <c r="AA640" s="65"/>
      <c r="AB640" s="65"/>
      <c r="AC640" s="65"/>
      <c r="AD640" s="65"/>
      <c r="AE640" s="66"/>
      <c r="AF640" s="66"/>
      <c r="AG640" s="66"/>
      <c r="AH640" s="66"/>
      <c r="AI640" s="65"/>
      <c r="AJ640" s="65"/>
      <c r="AK640" s="65"/>
      <c r="AL640" s="65"/>
      <c r="AM640" s="65"/>
      <c r="AN640" s="65"/>
      <c r="AO640" s="65"/>
      <c r="AP640" s="65"/>
      <c r="AQ640" s="65"/>
      <c r="AR640" s="65"/>
      <c r="AS640" s="65"/>
      <c r="AT640" s="65"/>
      <c r="AU640" s="65"/>
      <c r="AV640" s="65"/>
      <c r="AW640" s="65"/>
      <c r="AX640" s="65"/>
      <c r="AY640" s="65"/>
      <c r="AZ640" s="65"/>
      <c r="BA640" s="65"/>
      <c r="BB640" s="65"/>
      <c r="BC640" s="65"/>
      <c r="BD640" s="65"/>
      <c r="BE640" s="65"/>
      <c r="BF640" s="65"/>
      <c r="BG640" s="65"/>
      <c r="BH640" s="65"/>
      <c r="BI640" s="65"/>
      <c r="BJ640" s="65"/>
      <c r="BK640" s="65">
        <v>0</v>
      </c>
      <c r="BL640" s="65">
        <v>0</v>
      </c>
      <c r="BM640" s="65">
        <v>0</v>
      </c>
      <c r="BN640" s="65">
        <f t="shared" si="3347"/>
        <v>0</v>
      </c>
      <c r="BO640" s="67">
        <f t="shared" si="3348"/>
        <v>0</v>
      </c>
      <c r="BP640" s="65">
        <f t="shared" si="3349"/>
        <v>0</v>
      </c>
      <c r="BQ640" s="65">
        <f t="shared" si="3350"/>
        <v>0</v>
      </c>
      <c r="BR640" s="65">
        <f t="shared" si="3351"/>
        <v>0</v>
      </c>
      <c r="BS640" s="65">
        <f t="shared" si="3352"/>
        <v>0</v>
      </c>
      <c r="BT640" s="65">
        <f t="shared" si="3353"/>
        <v>0</v>
      </c>
      <c r="BU640" s="65">
        <f t="shared" si="3354"/>
        <v>0</v>
      </c>
      <c r="BV640" s="65">
        <f t="shared" si="3355"/>
        <v>0</v>
      </c>
      <c r="BW640" s="65">
        <f t="shared" si="3356"/>
        <v>0</v>
      </c>
      <c r="BX640" s="6"/>
      <c r="BY640" s="6"/>
      <c r="BZ640" s="6"/>
      <c r="CA640" s="6"/>
      <c r="CB640" s="6"/>
      <c r="CC640" s="6"/>
      <c r="CD640" s="6"/>
      <c r="CE640" s="6"/>
      <c r="CF640" s="6"/>
      <c r="CG640" s="6"/>
    </row>
    <row r="641" spans="1:85" ht="15.75" customHeight="1">
      <c r="A641" s="121"/>
      <c r="B641" s="189" t="s">
        <v>750</v>
      </c>
      <c r="C641" s="68" t="s">
        <v>535</v>
      </c>
      <c r="D641" s="122" t="s">
        <v>751</v>
      </c>
      <c r="E641" s="99">
        <v>0</v>
      </c>
      <c r="F641" s="99">
        <v>0</v>
      </c>
      <c r="G641" s="58">
        <f t="shared" si="3340"/>
        <v>0</v>
      </c>
      <c r="H641" s="99">
        <v>0</v>
      </c>
      <c r="I641" s="59">
        <f t="shared" si="3007"/>
        <v>0</v>
      </c>
      <c r="J641" s="59">
        <f t="shared" si="2705"/>
        <v>0</v>
      </c>
      <c r="K641" s="74">
        <v>0</v>
      </c>
      <c r="L641" s="74">
        <v>0</v>
      </c>
      <c r="M641" s="74">
        <v>0</v>
      </c>
      <c r="N641" s="74">
        <v>0</v>
      </c>
      <c r="O641" s="61">
        <f t="shared" ref="O641:Q641" si="3363">AA641+AD641+AG641+AJ641+AM641+AP641+AS641+AV641+AY641+BB641+BE641+BH641</f>
        <v>0</v>
      </c>
      <c r="P641" s="61">
        <f t="shared" si="3363"/>
        <v>0</v>
      </c>
      <c r="Q641" s="61">
        <f t="shared" si="3363"/>
        <v>0</v>
      </c>
      <c r="R641" s="61">
        <f t="shared" ref="R641:T641" si="3364">IF(BK641=0,SUM(AA641+AD641+AG641+AJ641+AM641+AP641+AS641+AV641+AY641+BB641+BE641+BH641),BK641)</f>
        <v>0</v>
      </c>
      <c r="S641" s="61">
        <f t="shared" si="3364"/>
        <v>0</v>
      </c>
      <c r="T641" s="61">
        <f t="shared" si="3364"/>
        <v>0</v>
      </c>
      <c r="U641" s="63">
        <f t="shared" si="3343"/>
        <v>0</v>
      </c>
      <c r="V641" s="63">
        <f t="shared" si="3344"/>
        <v>0</v>
      </c>
      <c r="W641" s="63">
        <f t="shared" si="3345"/>
        <v>0</v>
      </c>
      <c r="X641" s="64">
        <f t="shared" ref="X641:Y641" si="3365">IF(O641&gt;0,O641/K641,0)</f>
        <v>0</v>
      </c>
      <c r="Y641" s="64">
        <f t="shared" si="3365"/>
        <v>0</v>
      </c>
      <c r="Z641" s="64">
        <f t="shared" si="3262"/>
        <v>0</v>
      </c>
      <c r="AA641" s="65"/>
      <c r="AB641" s="65"/>
      <c r="AC641" s="65"/>
      <c r="AD641" s="65"/>
      <c r="AE641" s="66"/>
      <c r="AF641" s="66"/>
      <c r="AG641" s="66"/>
      <c r="AH641" s="66"/>
      <c r="AI641" s="65"/>
      <c r="AJ641" s="65"/>
      <c r="AK641" s="65"/>
      <c r="AL641" s="65"/>
      <c r="AM641" s="65"/>
      <c r="AN641" s="65"/>
      <c r="AO641" s="65"/>
      <c r="AP641" s="65"/>
      <c r="AQ641" s="65"/>
      <c r="AR641" s="65"/>
      <c r="AS641" s="65"/>
      <c r="AT641" s="65"/>
      <c r="AU641" s="65"/>
      <c r="AV641" s="65"/>
      <c r="AW641" s="65"/>
      <c r="AX641" s="65"/>
      <c r="AY641" s="65"/>
      <c r="AZ641" s="65"/>
      <c r="BA641" s="65"/>
      <c r="BB641" s="65"/>
      <c r="BC641" s="65"/>
      <c r="BD641" s="65"/>
      <c r="BE641" s="65"/>
      <c r="BF641" s="65"/>
      <c r="BG641" s="65"/>
      <c r="BH641" s="65"/>
      <c r="BI641" s="65"/>
      <c r="BJ641" s="65"/>
      <c r="BK641" s="65">
        <v>0</v>
      </c>
      <c r="BL641" s="65">
        <v>0</v>
      </c>
      <c r="BM641" s="65">
        <v>0</v>
      </c>
      <c r="BN641" s="65">
        <f t="shared" si="3347"/>
        <v>0</v>
      </c>
      <c r="BO641" s="67">
        <f t="shared" si="3348"/>
        <v>0</v>
      </c>
      <c r="BP641" s="65">
        <f t="shared" si="3349"/>
        <v>0</v>
      </c>
      <c r="BQ641" s="65">
        <f t="shared" si="3350"/>
        <v>0</v>
      </c>
      <c r="BR641" s="65">
        <f t="shared" si="3351"/>
        <v>0</v>
      </c>
      <c r="BS641" s="65">
        <f t="shared" si="3352"/>
        <v>0</v>
      </c>
      <c r="BT641" s="65">
        <f t="shared" si="3353"/>
        <v>0</v>
      </c>
      <c r="BU641" s="65">
        <f t="shared" si="3354"/>
        <v>0</v>
      </c>
      <c r="BV641" s="65">
        <f t="shared" si="3355"/>
        <v>0</v>
      </c>
      <c r="BW641" s="65">
        <f t="shared" si="3356"/>
        <v>0</v>
      </c>
      <c r="BX641" s="6"/>
      <c r="BY641" s="6"/>
      <c r="BZ641" s="6"/>
      <c r="CA641" s="6"/>
      <c r="CB641" s="6"/>
      <c r="CC641" s="6"/>
      <c r="CD641" s="6"/>
      <c r="CE641" s="6"/>
      <c r="CF641" s="6"/>
      <c r="CG641" s="6"/>
    </row>
    <row r="642" spans="1:85" ht="15.75" customHeight="1">
      <c r="A642" s="121"/>
      <c r="B642" s="183" t="s">
        <v>752</v>
      </c>
      <c r="C642" s="68" t="s">
        <v>535</v>
      </c>
      <c r="D642" s="122" t="s">
        <v>753</v>
      </c>
      <c r="E642" s="99">
        <v>0</v>
      </c>
      <c r="F642" s="99">
        <v>0</v>
      </c>
      <c r="G642" s="58">
        <f t="shared" si="3340"/>
        <v>0</v>
      </c>
      <c r="H642" s="99">
        <v>0</v>
      </c>
      <c r="I642" s="59">
        <f t="shared" si="3007"/>
        <v>0</v>
      </c>
      <c r="J642" s="59">
        <f t="shared" si="2705"/>
        <v>0</v>
      </c>
      <c r="K642" s="74">
        <v>0</v>
      </c>
      <c r="L642" s="74">
        <v>0</v>
      </c>
      <c r="M642" s="74">
        <v>0</v>
      </c>
      <c r="N642" s="74">
        <v>0</v>
      </c>
      <c r="O642" s="61">
        <f t="shared" ref="O642:Q642" si="3366">AA642+AD642+AG642+AJ642+AM642+AP642+AS642+AV642+AY642+BB642+BE642+BH642</f>
        <v>0</v>
      </c>
      <c r="P642" s="61">
        <f t="shared" si="3366"/>
        <v>0</v>
      </c>
      <c r="Q642" s="61">
        <f t="shared" si="3366"/>
        <v>0</v>
      </c>
      <c r="R642" s="61">
        <f t="shared" ref="R642:T642" si="3367">IF(BK642=0,SUM(AA642+AD642+AG642+AJ642+AM642+AP642+AS642+AV642+AY642+BB642+BE642+BH642),BK642)</f>
        <v>0</v>
      </c>
      <c r="S642" s="61">
        <f t="shared" si="3367"/>
        <v>0</v>
      </c>
      <c r="T642" s="61">
        <f t="shared" si="3367"/>
        <v>0</v>
      </c>
      <c r="U642" s="63">
        <f t="shared" si="3343"/>
        <v>0</v>
      </c>
      <c r="V642" s="63">
        <f t="shared" si="3344"/>
        <v>0</v>
      </c>
      <c r="W642" s="63">
        <f t="shared" si="3345"/>
        <v>0</v>
      </c>
      <c r="X642" s="64">
        <f t="shared" ref="X642:Y642" si="3368">IF(O642&gt;0,O642/K642,0)</f>
        <v>0</v>
      </c>
      <c r="Y642" s="64">
        <f t="shared" si="3368"/>
        <v>0</v>
      </c>
      <c r="Z642" s="64">
        <f t="shared" si="3262"/>
        <v>0</v>
      </c>
      <c r="AA642" s="65"/>
      <c r="AB642" s="65"/>
      <c r="AC642" s="65"/>
      <c r="AD642" s="65"/>
      <c r="AE642" s="66"/>
      <c r="AF642" s="66"/>
      <c r="AG642" s="66"/>
      <c r="AH642" s="66"/>
      <c r="AI642" s="65"/>
      <c r="AJ642" s="65"/>
      <c r="AK642" s="65"/>
      <c r="AL642" s="65"/>
      <c r="AM642" s="65"/>
      <c r="AN642" s="65"/>
      <c r="AO642" s="65"/>
      <c r="AP642" s="65"/>
      <c r="AQ642" s="65"/>
      <c r="AR642" s="65"/>
      <c r="AS642" s="65"/>
      <c r="AT642" s="65"/>
      <c r="AU642" s="65"/>
      <c r="AV642" s="65"/>
      <c r="AW642" s="65"/>
      <c r="AX642" s="65"/>
      <c r="AY642" s="65"/>
      <c r="AZ642" s="65"/>
      <c r="BA642" s="65"/>
      <c r="BB642" s="65"/>
      <c r="BC642" s="65"/>
      <c r="BD642" s="65"/>
      <c r="BE642" s="65"/>
      <c r="BF642" s="65"/>
      <c r="BG642" s="65"/>
      <c r="BH642" s="65"/>
      <c r="BI642" s="65"/>
      <c r="BJ642" s="65"/>
      <c r="BK642" s="65">
        <v>0</v>
      </c>
      <c r="BL642" s="65">
        <v>0</v>
      </c>
      <c r="BM642" s="65">
        <v>0</v>
      </c>
      <c r="BN642" s="65">
        <f t="shared" si="3347"/>
        <v>0</v>
      </c>
      <c r="BO642" s="67">
        <f t="shared" si="3348"/>
        <v>0</v>
      </c>
      <c r="BP642" s="65">
        <f t="shared" si="3349"/>
        <v>0</v>
      </c>
      <c r="BQ642" s="65">
        <f t="shared" si="3350"/>
        <v>0</v>
      </c>
      <c r="BR642" s="65">
        <f t="shared" si="3351"/>
        <v>0</v>
      </c>
      <c r="BS642" s="65">
        <f t="shared" si="3352"/>
        <v>0</v>
      </c>
      <c r="BT642" s="65">
        <f t="shared" si="3353"/>
        <v>0</v>
      </c>
      <c r="BU642" s="65">
        <f t="shared" si="3354"/>
        <v>0</v>
      </c>
      <c r="BV642" s="65">
        <f t="shared" si="3355"/>
        <v>0</v>
      </c>
      <c r="BW642" s="65">
        <f t="shared" si="3356"/>
        <v>0</v>
      </c>
      <c r="BX642" s="6"/>
      <c r="BY642" s="6"/>
      <c r="BZ642" s="6"/>
      <c r="CA642" s="6"/>
      <c r="CB642" s="6"/>
      <c r="CC642" s="6"/>
      <c r="CD642" s="6"/>
      <c r="CE642" s="6"/>
      <c r="CF642" s="6"/>
      <c r="CG642" s="6"/>
    </row>
    <row r="643" spans="1:85" ht="15.75" customHeight="1">
      <c r="A643" s="52" t="s">
        <v>754</v>
      </c>
      <c r="B643" s="377"/>
      <c r="C643" s="68" t="s">
        <v>535</v>
      </c>
      <c r="D643" s="124" t="s">
        <v>755</v>
      </c>
      <c r="E643" s="56">
        <f>128000+67913.82</f>
        <v>195913.82</v>
      </c>
      <c r="F643" s="99">
        <v>0</v>
      </c>
      <c r="G643" s="58">
        <f t="shared" si="3340"/>
        <v>195913.82</v>
      </c>
      <c r="H643" s="99">
        <v>0</v>
      </c>
      <c r="I643" s="59">
        <f t="shared" si="3007"/>
        <v>0.79136836798955779</v>
      </c>
      <c r="J643" s="59">
        <f t="shared" si="2705"/>
        <v>0.79136836798955779</v>
      </c>
      <c r="K643" s="74">
        <v>155040</v>
      </c>
      <c r="L643" s="74">
        <v>0</v>
      </c>
      <c r="M643" s="74">
        <v>0</v>
      </c>
      <c r="N643" s="74">
        <v>0</v>
      </c>
      <c r="O643" s="63">
        <f t="shared" ref="O643:Q643" si="3369">AA643+AD643+AG643+AJ643+AM643+AP643+AS643+AV643+AY643+BB643+BE643+BH643</f>
        <v>155040</v>
      </c>
      <c r="P643" s="61">
        <f t="shared" si="3369"/>
        <v>0</v>
      </c>
      <c r="Q643" s="61">
        <f t="shared" si="3369"/>
        <v>0</v>
      </c>
      <c r="R643" s="61">
        <f t="shared" ref="R643:T643" si="3370">IF(BK643=0,SUM(AA643+AD643+AG643+AJ643+AM643+AP643+AS643+AV643+AY643+BB643+BE643+BH643),BK643)</f>
        <v>155040</v>
      </c>
      <c r="S643" s="61">
        <f t="shared" si="3370"/>
        <v>0</v>
      </c>
      <c r="T643" s="61">
        <f t="shared" si="3370"/>
        <v>0</v>
      </c>
      <c r="U643" s="63">
        <f t="shared" si="3343"/>
        <v>0</v>
      </c>
      <c r="V643" s="63">
        <f t="shared" si="3344"/>
        <v>0</v>
      </c>
      <c r="W643" s="63">
        <f t="shared" si="3345"/>
        <v>0</v>
      </c>
      <c r="X643" s="64">
        <f t="shared" ref="X643:Y643" si="3371">IF(O643&gt;0,O643/K643,0)</f>
        <v>1</v>
      </c>
      <c r="Y643" s="64">
        <f t="shared" si="3371"/>
        <v>0</v>
      </c>
      <c r="Z643" s="64">
        <f t="shared" si="3262"/>
        <v>0</v>
      </c>
      <c r="AA643" s="65"/>
      <c r="AB643" s="65"/>
      <c r="AC643" s="65"/>
      <c r="AD643" s="65"/>
      <c r="AE643" s="66"/>
      <c r="AF643" s="66"/>
      <c r="AG643" s="66">
        <f>3850+42350</f>
        <v>46200</v>
      </c>
      <c r="AH643" s="66"/>
      <c r="AI643" s="65"/>
      <c r="AJ643" s="65"/>
      <c r="AK643" s="65"/>
      <c r="AL643" s="65"/>
      <c r="AM643" s="65">
        <f>66000+42840</f>
        <v>108840</v>
      </c>
      <c r="AN643" s="65"/>
      <c r="AO643" s="65"/>
      <c r="AP643" s="65"/>
      <c r="AQ643" s="65"/>
      <c r="AR643" s="65"/>
      <c r="AS643" s="65"/>
      <c r="AT643" s="65"/>
      <c r="AU643" s="65"/>
      <c r="AV643" s="65"/>
      <c r="AW643" s="65"/>
      <c r="AX643" s="65"/>
      <c r="AY643" s="65"/>
      <c r="AZ643" s="65"/>
      <c r="BA643" s="65"/>
      <c r="BB643" s="65"/>
      <c r="BC643" s="65"/>
      <c r="BD643" s="65"/>
      <c r="BE643" s="65"/>
      <c r="BF643" s="65"/>
      <c r="BG643" s="65"/>
      <c r="BH643" s="65"/>
      <c r="BI643" s="65"/>
      <c r="BJ643" s="65"/>
      <c r="BK643" s="65">
        <v>0</v>
      </c>
      <c r="BL643" s="65">
        <v>0</v>
      </c>
      <c r="BM643" s="65">
        <v>0</v>
      </c>
      <c r="BN643" s="65">
        <f t="shared" si="3347"/>
        <v>155040</v>
      </c>
      <c r="BO643" s="67">
        <f t="shared" si="3348"/>
        <v>0</v>
      </c>
      <c r="BP643" s="65">
        <f t="shared" si="3349"/>
        <v>155040</v>
      </c>
      <c r="BQ643" s="65">
        <f t="shared" si="3350"/>
        <v>0</v>
      </c>
      <c r="BR643" s="65">
        <f t="shared" si="3351"/>
        <v>0</v>
      </c>
      <c r="BS643" s="65">
        <f t="shared" si="3352"/>
        <v>0</v>
      </c>
      <c r="BT643" s="65">
        <f t="shared" si="3353"/>
        <v>0</v>
      </c>
      <c r="BU643" s="65">
        <f t="shared" si="3354"/>
        <v>155040</v>
      </c>
      <c r="BV643" s="65">
        <f t="shared" si="3355"/>
        <v>0</v>
      </c>
      <c r="BW643" s="65">
        <f t="shared" si="3356"/>
        <v>155040</v>
      </c>
      <c r="BX643" s="6"/>
      <c r="BY643" s="6"/>
      <c r="BZ643" s="6"/>
      <c r="CA643" s="6"/>
      <c r="CB643" s="6"/>
      <c r="CC643" s="6"/>
      <c r="CD643" s="6"/>
      <c r="CE643" s="6"/>
      <c r="CF643" s="6"/>
      <c r="CG643" s="6"/>
    </row>
    <row r="644" spans="1:85" ht="15.75" customHeight="1">
      <c r="A644" s="52" t="s">
        <v>756</v>
      </c>
      <c r="B644" s="377"/>
      <c r="C644" s="104" t="s">
        <v>535</v>
      </c>
      <c r="D644" s="124" t="s">
        <v>755</v>
      </c>
      <c r="E644" s="99">
        <v>0</v>
      </c>
      <c r="F644" s="99">
        <v>0</v>
      </c>
      <c r="G644" s="58">
        <f t="shared" si="3340"/>
        <v>0</v>
      </c>
      <c r="H644" s="99">
        <v>0</v>
      </c>
      <c r="I644" s="59">
        <f t="shared" si="3007"/>
        <v>0</v>
      </c>
      <c r="J644" s="59">
        <f t="shared" si="2705"/>
        <v>0</v>
      </c>
      <c r="K644" s="74">
        <f>23160</f>
        <v>23160</v>
      </c>
      <c r="L644" s="74">
        <v>0</v>
      </c>
      <c r="M644" s="74">
        <v>0</v>
      </c>
      <c r="N644" s="74">
        <v>0</v>
      </c>
      <c r="O644" s="61">
        <f t="shared" ref="O644:Q644" si="3372">AA644+AD644+AG644+AJ644+AM644+AP644+AS644+AV644+AY644+BB644+BE644+BH644</f>
        <v>23160</v>
      </c>
      <c r="P644" s="61">
        <f t="shared" si="3372"/>
        <v>0</v>
      </c>
      <c r="Q644" s="61">
        <f t="shared" si="3372"/>
        <v>0</v>
      </c>
      <c r="R644" s="61">
        <f t="shared" ref="R644:T644" si="3373">IF(BK644=0,SUM(AA644+AD644+AG644+AJ644+AM644+AP644+AS644+AV644+AY644+BB644+BE644+BH644),BK644)</f>
        <v>23160</v>
      </c>
      <c r="S644" s="61">
        <f t="shared" si="3373"/>
        <v>0</v>
      </c>
      <c r="T644" s="61">
        <f t="shared" si="3373"/>
        <v>0</v>
      </c>
      <c r="U644" s="63">
        <f t="shared" si="3343"/>
        <v>0</v>
      </c>
      <c r="V644" s="63">
        <f t="shared" si="3344"/>
        <v>0</v>
      </c>
      <c r="W644" s="63">
        <f t="shared" si="3345"/>
        <v>0</v>
      </c>
      <c r="X644" s="64">
        <f t="shared" ref="X644:Y644" si="3374">IF(O644&gt;0,O644/K644,0)</f>
        <v>1</v>
      </c>
      <c r="Y644" s="64">
        <f t="shared" si="3374"/>
        <v>0</v>
      </c>
      <c r="Z644" s="64">
        <f t="shared" si="3262"/>
        <v>0</v>
      </c>
      <c r="AA644" s="65"/>
      <c r="AB644" s="65"/>
      <c r="AC644" s="65"/>
      <c r="AD644" s="65"/>
      <c r="AE644" s="66"/>
      <c r="AF644" s="66"/>
      <c r="AG644" s="66"/>
      <c r="AH644" s="66"/>
      <c r="AI644" s="65"/>
      <c r="AJ644" s="65"/>
      <c r="AK644" s="65"/>
      <c r="AL644" s="65"/>
      <c r="AM644" s="65">
        <f>23160</f>
        <v>23160</v>
      </c>
      <c r="AN644" s="65"/>
      <c r="AO644" s="65"/>
      <c r="AP644" s="65"/>
      <c r="AQ644" s="65"/>
      <c r="AR644" s="65"/>
      <c r="AS644" s="65"/>
      <c r="AT644" s="65"/>
      <c r="AU644" s="65"/>
      <c r="AV644" s="65"/>
      <c r="AW644" s="65"/>
      <c r="AX644" s="65"/>
      <c r="AY644" s="65"/>
      <c r="AZ644" s="65"/>
      <c r="BA644" s="65"/>
      <c r="BB644" s="65"/>
      <c r="BC644" s="65"/>
      <c r="BD644" s="65"/>
      <c r="BE644" s="65"/>
      <c r="BF644" s="65"/>
      <c r="BG644" s="65"/>
      <c r="BH644" s="65"/>
      <c r="BI644" s="65"/>
      <c r="BJ644" s="65"/>
      <c r="BK644" s="65">
        <v>0</v>
      </c>
      <c r="BL644" s="65">
        <v>0</v>
      </c>
      <c r="BM644" s="65">
        <v>0</v>
      </c>
      <c r="BN644" s="65">
        <f t="shared" si="3347"/>
        <v>23160</v>
      </c>
      <c r="BO644" s="67">
        <f t="shared" si="3348"/>
        <v>0</v>
      </c>
      <c r="BP644" s="65">
        <f t="shared" si="3349"/>
        <v>23160</v>
      </c>
      <c r="BQ644" s="65">
        <f t="shared" si="3350"/>
        <v>0</v>
      </c>
      <c r="BR644" s="65">
        <f t="shared" si="3351"/>
        <v>0</v>
      </c>
      <c r="BS644" s="65">
        <f t="shared" si="3352"/>
        <v>0</v>
      </c>
      <c r="BT644" s="65">
        <f t="shared" si="3353"/>
        <v>0</v>
      </c>
      <c r="BU644" s="65">
        <f t="shared" si="3354"/>
        <v>23160</v>
      </c>
      <c r="BV644" s="65">
        <f t="shared" si="3355"/>
        <v>0</v>
      </c>
      <c r="BW644" s="65">
        <f t="shared" si="3356"/>
        <v>23160</v>
      </c>
      <c r="BX644" s="6"/>
      <c r="BY644" s="6"/>
      <c r="BZ644" s="6"/>
      <c r="CA644" s="6"/>
      <c r="CB644" s="6"/>
      <c r="CC644" s="6"/>
      <c r="CD644" s="6"/>
      <c r="CE644" s="6"/>
      <c r="CF644" s="6"/>
      <c r="CG644" s="6"/>
    </row>
    <row r="645" spans="1:85" ht="15.75" customHeight="1">
      <c r="A645" s="52" t="s">
        <v>757</v>
      </c>
      <c r="B645" s="189"/>
      <c r="C645" s="104" t="s">
        <v>535</v>
      </c>
      <c r="D645" s="124" t="s">
        <v>758</v>
      </c>
      <c r="E645" s="99">
        <v>0</v>
      </c>
      <c r="F645" s="99">
        <v>0</v>
      </c>
      <c r="G645" s="58">
        <f t="shared" si="3340"/>
        <v>0</v>
      </c>
      <c r="H645" s="99">
        <v>0</v>
      </c>
      <c r="I645" s="59">
        <f t="shared" si="3007"/>
        <v>0</v>
      </c>
      <c r="J645" s="59">
        <f t="shared" si="2705"/>
        <v>0</v>
      </c>
      <c r="K645" s="74">
        <f>52434-2847</f>
        <v>49587</v>
      </c>
      <c r="L645" s="74">
        <v>0</v>
      </c>
      <c r="M645" s="74">
        <v>0</v>
      </c>
      <c r="N645" s="74">
        <v>0</v>
      </c>
      <c r="O645" s="61">
        <f t="shared" ref="O645:Q645" si="3375">AA645+AD645+AG645+AJ645+AM645+AP645+AS645+AV645+AY645+BB645+BE645+BH645</f>
        <v>49587</v>
      </c>
      <c r="P645" s="61">
        <f t="shared" si="3375"/>
        <v>0</v>
      </c>
      <c r="Q645" s="61">
        <f t="shared" si="3375"/>
        <v>0</v>
      </c>
      <c r="R645" s="61">
        <f t="shared" ref="R645:T645" si="3376">IF(BK645=0,SUM(AA645+AD645+AG645+AJ645+AM645+AP645+AS645+AV645+AY645+BB645+BE645+BH645),BK645)</f>
        <v>49587</v>
      </c>
      <c r="S645" s="61">
        <f t="shared" si="3376"/>
        <v>0</v>
      </c>
      <c r="T645" s="61">
        <f t="shared" si="3376"/>
        <v>0</v>
      </c>
      <c r="U645" s="63">
        <f t="shared" si="3343"/>
        <v>0</v>
      </c>
      <c r="V645" s="63">
        <f t="shared" si="3344"/>
        <v>0</v>
      </c>
      <c r="W645" s="63">
        <f t="shared" si="3345"/>
        <v>0</v>
      </c>
      <c r="X645" s="64">
        <f t="shared" ref="X645:Y645" si="3377">IF(O645&gt;0,O645/K645,0)</f>
        <v>1</v>
      </c>
      <c r="Y645" s="64">
        <f t="shared" si="3377"/>
        <v>0</v>
      </c>
      <c r="Z645" s="64">
        <f t="shared" si="3262"/>
        <v>0</v>
      </c>
      <c r="AA645" s="65"/>
      <c r="AB645" s="65"/>
      <c r="AC645" s="65"/>
      <c r="AD645" s="65"/>
      <c r="AE645" s="66"/>
      <c r="AF645" s="66"/>
      <c r="AG645" s="66"/>
      <c r="AH645" s="66"/>
      <c r="AI645" s="65"/>
      <c r="AJ645" s="65"/>
      <c r="AK645" s="65"/>
      <c r="AL645" s="65"/>
      <c r="AM645" s="65"/>
      <c r="AN645" s="65"/>
      <c r="AO645" s="65"/>
      <c r="AP645" s="65">
        <f>49587</f>
        <v>49587</v>
      </c>
      <c r="AQ645" s="65"/>
      <c r="AR645" s="65"/>
      <c r="AS645" s="65"/>
      <c r="AT645" s="65"/>
      <c r="AU645" s="65"/>
      <c r="AV645" s="65"/>
      <c r="AW645" s="65"/>
      <c r="AX645" s="65"/>
      <c r="AY645" s="65"/>
      <c r="AZ645" s="65"/>
      <c r="BA645" s="65"/>
      <c r="BB645" s="65"/>
      <c r="BC645" s="65"/>
      <c r="BD645" s="65"/>
      <c r="BE645" s="65"/>
      <c r="BF645" s="65"/>
      <c r="BG645" s="65"/>
      <c r="BH645" s="65"/>
      <c r="BI645" s="65"/>
      <c r="BJ645" s="65"/>
      <c r="BK645" s="65">
        <v>0</v>
      </c>
      <c r="BL645" s="65">
        <v>0</v>
      </c>
      <c r="BM645" s="65">
        <v>0</v>
      </c>
      <c r="BN645" s="65">
        <f t="shared" si="3347"/>
        <v>49587</v>
      </c>
      <c r="BO645" s="67">
        <f t="shared" si="3348"/>
        <v>0</v>
      </c>
      <c r="BP645" s="65">
        <f t="shared" si="3349"/>
        <v>49587</v>
      </c>
      <c r="BQ645" s="65">
        <f t="shared" si="3350"/>
        <v>0</v>
      </c>
      <c r="BR645" s="65">
        <f t="shared" si="3351"/>
        <v>0</v>
      </c>
      <c r="BS645" s="65">
        <f t="shared" si="3352"/>
        <v>0</v>
      </c>
      <c r="BT645" s="65">
        <f t="shared" si="3353"/>
        <v>0</v>
      </c>
      <c r="BU645" s="65">
        <f t="shared" si="3354"/>
        <v>49587</v>
      </c>
      <c r="BV645" s="65">
        <f t="shared" si="3355"/>
        <v>0</v>
      </c>
      <c r="BW645" s="65">
        <f t="shared" si="3356"/>
        <v>49587</v>
      </c>
      <c r="BX645" s="6"/>
      <c r="BY645" s="6"/>
      <c r="BZ645" s="6"/>
      <c r="CA645" s="6"/>
      <c r="CB645" s="6"/>
      <c r="CC645" s="6"/>
      <c r="CD645" s="6"/>
      <c r="CE645" s="6"/>
      <c r="CF645" s="6"/>
      <c r="CG645" s="6"/>
    </row>
    <row r="646" spans="1:85" ht="15.75" customHeight="1">
      <c r="A646" s="52" t="s">
        <v>759</v>
      </c>
      <c r="B646" s="189"/>
      <c r="C646" s="104" t="s">
        <v>535</v>
      </c>
      <c r="D646" s="124" t="s">
        <v>760</v>
      </c>
      <c r="E646" s="99">
        <v>0</v>
      </c>
      <c r="F646" s="99">
        <v>0</v>
      </c>
      <c r="G646" s="58">
        <f t="shared" si="3340"/>
        <v>0</v>
      </c>
      <c r="H646" s="99">
        <v>0</v>
      </c>
      <c r="I646" s="59">
        <f t="shared" si="3007"/>
        <v>0</v>
      </c>
      <c r="J646" s="59">
        <f t="shared" si="2705"/>
        <v>0</v>
      </c>
      <c r="K646" s="74">
        <v>33407.9</v>
      </c>
      <c r="L646" s="74">
        <v>0</v>
      </c>
      <c r="M646" s="74">
        <v>0</v>
      </c>
      <c r="N646" s="74">
        <v>0</v>
      </c>
      <c r="O646" s="61">
        <f t="shared" ref="O646:Q646" si="3378">AA646+AD646+AG646+AJ646+AM646+AP646+AS646+AV646+AY646+BB646+BE646+BH646</f>
        <v>32873.9</v>
      </c>
      <c r="P646" s="61">
        <f t="shared" si="3378"/>
        <v>0</v>
      </c>
      <c r="Q646" s="61">
        <f t="shared" si="3378"/>
        <v>0</v>
      </c>
      <c r="R646" s="61">
        <f t="shared" ref="R646:T646" si="3379">IF(BK646=0,SUM(AA646+AD646+AG646+AJ646+AM646+AP646+AS646+AV646+AY646+BB646+BE646+BH646),BK646)</f>
        <v>32873.9</v>
      </c>
      <c r="S646" s="61">
        <f t="shared" si="3379"/>
        <v>0</v>
      </c>
      <c r="T646" s="61">
        <f t="shared" si="3379"/>
        <v>0</v>
      </c>
      <c r="U646" s="62">
        <f t="shared" si="3343"/>
        <v>534</v>
      </c>
      <c r="V646" s="63">
        <f t="shared" si="3344"/>
        <v>0</v>
      </c>
      <c r="W646" s="63">
        <f t="shared" si="3345"/>
        <v>0</v>
      </c>
      <c r="X646" s="64">
        <f t="shared" ref="X646:Y646" si="3380">IF(O646&gt;0,O646/K646,0)</f>
        <v>0.98401575675214548</v>
      </c>
      <c r="Y646" s="64">
        <f t="shared" si="3380"/>
        <v>0</v>
      </c>
      <c r="Z646" s="64">
        <f t="shared" si="3262"/>
        <v>0</v>
      </c>
      <c r="AA646" s="65"/>
      <c r="AB646" s="65"/>
      <c r="AC646" s="65"/>
      <c r="AD646" s="65"/>
      <c r="AE646" s="66"/>
      <c r="AF646" s="66"/>
      <c r="AG646" s="66"/>
      <c r="AH646" s="66"/>
      <c r="AI646" s="65"/>
      <c r="AJ646" s="65"/>
      <c r="AK646" s="65"/>
      <c r="AL646" s="65"/>
      <c r="AM646" s="65"/>
      <c r="AN646" s="65"/>
      <c r="AO646" s="65"/>
      <c r="AP646" s="65">
        <f>23070+715+9088.9</f>
        <v>32873.9</v>
      </c>
      <c r="AQ646" s="65"/>
      <c r="AR646" s="65"/>
      <c r="AS646" s="65"/>
      <c r="AT646" s="65"/>
      <c r="AU646" s="65"/>
      <c r="AV646" s="65"/>
      <c r="AW646" s="65"/>
      <c r="AX646" s="65"/>
      <c r="AY646" s="65"/>
      <c r="AZ646" s="65"/>
      <c r="BA646" s="65"/>
      <c r="BB646" s="65"/>
      <c r="BC646" s="65"/>
      <c r="BD646" s="65"/>
      <c r="BE646" s="65"/>
      <c r="BF646" s="65"/>
      <c r="BG646" s="65"/>
      <c r="BH646" s="65"/>
      <c r="BI646" s="65"/>
      <c r="BJ646" s="65"/>
      <c r="BK646" s="65">
        <v>0</v>
      </c>
      <c r="BL646" s="65">
        <v>0</v>
      </c>
      <c r="BM646" s="65">
        <v>0</v>
      </c>
      <c r="BN646" s="65">
        <f t="shared" si="3347"/>
        <v>32873.9</v>
      </c>
      <c r="BO646" s="67">
        <f t="shared" si="3348"/>
        <v>0</v>
      </c>
      <c r="BP646" s="65">
        <f t="shared" si="3349"/>
        <v>32873.9</v>
      </c>
      <c r="BQ646" s="65">
        <f t="shared" si="3350"/>
        <v>534</v>
      </c>
      <c r="BR646" s="65">
        <f t="shared" si="3351"/>
        <v>0</v>
      </c>
      <c r="BS646" s="65">
        <f t="shared" si="3352"/>
        <v>534</v>
      </c>
      <c r="BT646" s="65">
        <f t="shared" si="3353"/>
        <v>0</v>
      </c>
      <c r="BU646" s="65">
        <f t="shared" si="3354"/>
        <v>32873.9</v>
      </c>
      <c r="BV646" s="65">
        <f t="shared" si="3355"/>
        <v>534</v>
      </c>
      <c r="BW646" s="65">
        <f t="shared" si="3356"/>
        <v>33407.9</v>
      </c>
      <c r="BX646" s="6"/>
      <c r="BY646" s="6"/>
      <c r="BZ646" s="6"/>
      <c r="CA646" s="6"/>
      <c r="CB646" s="6"/>
      <c r="CC646" s="6"/>
      <c r="CD646" s="6"/>
      <c r="CE646" s="6"/>
      <c r="CF646" s="6"/>
      <c r="CG646" s="6"/>
    </row>
    <row r="647" spans="1:85" ht="15.75" customHeight="1">
      <c r="A647" s="52" t="s">
        <v>761</v>
      </c>
      <c r="B647" s="189"/>
      <c r="C647" s="104" t="s">
        <v>535</v>
      </c>
      <c r="D647" s="124" t="s">
        <v>762</v>
      </c>
      <c r="E647" s="99">
        <v>0</v>
      </c>
      <c r="F647" s="99">
        <v>0</v>
      </c>
      <c r="G647" s="58">
        <f t="shared" si="3340"/>
        <v>0</v>
      </c>
      <c r="H647" s="99">
        <v>0</v>
      </c>
      <c r="I647" s="59">
        <f t="shared" si="3007"/>
        <v>0</v>
      </c>
      <c r="J647" s="59">
        <f t="shared" si="2705"/>
        <v>0</v>
      </c>
      <c r="K647" s="74">
        <v>5004.2</v>
      </c>
      <c r="L647" s="74">
        <v>0</v>
      </c>
      <c r="M647" s="74">
        <v>0</v>
      </c>
      <c r="N647" s="74">
        <v>0</v>
      </c>
      <c r="O647" s="61">
        <f t="shared" ref="O647:Q647" si="3381">AA647+AD647+AG647+AJ647+AM647+AP647+AS647+AV647+AY647+BB647+BE647+BH647</f>
        <v>0</v>
      </c>
      <c r="P647" s="61">
        <f t="shared" si="3381"/>
        <v>0</v>
      </c>
      <c r="Q647" s="61">
        <f t="shared" si="3381"/>
        <v>0</v>
      </c>
      <c r="R647" s="61">
        <f t="shared" ref="R647:T647" si="3382">IF(BK647=0,SUM(AA647+AD647+AG647+AJ647+AM647+AP647+AS647+AV647+AY647+BB647+BE647+BH647),BK647)</f>
        <v>0</v>
      </c>
      <c r="S647" s="61">
        <f t="shared" si="3382"/>
        <v>0</v>
      </c>
      <c r="T647" s="61">
        <f t="shared" si="3382"/>
        <v>0</v>
      </c>
      <c r="U647" s="62">
        <f t="shared" si="3343"/>
        <v>5004.2</v>
      </c>
      <c r="V647" s="63">
        <f t="shared" si="3344"/>
        <v>0</v>
      </c>
      <c r="W647" s="63">
        <f t="shared" si="3345"/>
        <v>0</v>
      </c>
      <c r="X647" s="64">
        <f t="shared" ref="X647:Y647" si="3383">IF(O647&gt;0,O647/K647,0)</f>
        <v>0</v>
      </c>
      <c r="Y647" s="64">
        <f t="shared" si="3383"/>
        <v>0</v>
      </c>
      <c r="Z647" s="64">
        <f t="shared" si="3262"/>
        <v>0</v>
      </c>
      <c r="AA647" s="65"/>
      <c r="AB647" s="65"/>
      <c r="AC647" s="65"/>
      <c r="AD647" s="65"/>
      <c r="AE647" s="66"/>
      <c r="AF647" s="66"/>
      <c r="AG647" s="66"/>
      <c r="AH647" s="66"/>
      <c r="AI647" s="65"/>
      <c r="AJ647" s="65"/>
      <c r="AK647" s="65"/>
      <c r="AL647" s="65"/>
      <c r="AM647" s="65"/>
      <c r="AN647" s="65"/>
      <c r="AO647" s="65"/>
      <c r="AP647" s="65"/>
      <c r="AQ647" s="65"/>
      <c r="AR647" s="65"/>
      <c r="AS647" s="65"/>
      <c r="AT647" s="65"/>
      <c r="AU647" s="65"/>
      <c r="AV647" s="65"/>
      <c r="AW647" s="65"/>
      <c r="AX647" s="65"/>
      <c r="AY647" s="65"/>
      <c r="AZ647" s="65"/>
      <c r="BA647" s="65"/>
      <c r="BB647" s="65"/>
      <c r="BC647" s="65"/>
      <c r="BD647" s="65"/>
      <c r="BE647" s="65"/>
      <c r="BF647" s="65"/>
      <c r="BG647" s="65"/>
      <c r="BH647" s="65"/>
      <c r="BI647" s="65"/>
      <c r="BJ647" s="65"/>
      <c r="BK647" s="65">
        <v>0</v>
      </c>
      <c r="BL647" s="65">
        <v>0</v>
      </c>
      <c r="BM647" s="65">
        <v>0</v>
      </c>
      <c r="BN647" s="65">
        <f t="shared" si="3347"/>
        <v>0</v>
      </c>
      <c r="BO647" s="67">
        <f t="shared" si="3348"/>
        <v>0</v>
      </c>
      <c r="BP647" s="65">
        <f t="shared" si="3349"/>
        <v>0</v>
      </c>
      <c r="BQ647" s="65">
        <f t="shared" si="3350"/>
        <v>5004.2</v>
      </c>
      <c r="BR647" s="65">
        <f t="shared" si="3351"/>
        <v>0</v>
      </c>
      <c r="BS647" s="65">
        <f t="shared" si="3352"/>
        <v>5004.2</v>
      </c>
      <c r="BT647" s="65">
        <f t="shared" si="3353"/>
        <v>0</v>
      </c>
      <c r="BU647" s="65">
        <f t="shared" si="3354"/>
        <v>0</v>
      </c>
      <c r="BV647" s="65">
        <f t="shared" si="3355"/>
        <v>5004.2</v>
      </c>
      <c r="BW647" s="65">
        <f t="shared" si="3356"/>
        <v>5004.2</v>
      </c>
      <c r="BX647" s="6"/>
      <c r="BY647" s="6"/>
      <c r="BZ647" s="6"/>
      <c r="CA647" s="6"/>
      <c r="CB647" s="6"/>
      <c r="CC647" s="6"/>
      <c r="CD647" s="6"/>
      <c r="CE647" s="6"/>
      <c r="CF647" s="6"/>
      <c r="CG647" s="6"/>
    </row>
    <row r="648" spans="1:85" ht="15.75" customHeight="1">
      <c r="A648" s="52" t="s">
        <v>763</v>
      </c>
      <c r="B648" s="189"/>
      <c r="C648" s="104" t="s">
        <v>535</v>
      </c>
      <c r="D648" s="124" t="s">
        <v>764</v>
      </c>
      <c r="E648" s="99">
        <v>0</v>
      </c>
      <c r="F648" s="99">
        <v>0</v>
      </c>
      <c r="G648" s="58">
        <f t="shared" si="3340"/>
        <v>0</v>
      </c>
      <c r="H648" s="99">
        <v>0</v>
      </c>
      <c r="I648" s="59">
        <f t="shared" si="3007"/>
        <v>0</v>
      </c>
      <c r="J648" s="59">
        <f t="shared" si="2705"/>
        <v>0</v>
      </c>
      <c r="K648" s="74">
        <v>2160</v>
      </c>
      <c r="L648" s="74">
        <v>0</v>
      </c>
      <c r="M648" s="74">
        <v>0</v>
      </c>
      <c r="N648" s="74">
        <v>0</v>
      </c>
      <c r="O648" s="61">
        <f t="shared" ref="O648:Q648" si="3384">AA648+AD648+AG648+AJ648+AM648+AP648+AS648+AV648+AY648+BB648+BE648+BH648</f>
        <v>0</v>
      </c>
      <c r="P648" s="61">
        <f t="shared" si="3384"/>
        <v>0</v>
      </c>
      <c r="Q648" s="61">
        <f t="shared" si="3384"/>
        <v>0</v>
      </c>
      <c r="R648" s="61">
        <f t="shared" ref="R648:T648" si="3385">IF(BK648=0,SUM(AA648+AD648+AG648+AJ648+AM648+AP648+AS648+AV648+AY648+BB648+BE648+BH648),BK648)</f>
        <v>0</v>
      </c>
      <c r="S648" s="61">
        <f t="shared" si="3385"/>
        <v>0</v>
      </c>
      <c r="T648" s="61">
        <f t="shared" si="3385"/>
        <v>0</v>
      </c>
      <c r="U648" s="62">
        <f t="shared" si="3343"/>
        <v>2160</v>
      </c>
      <c r="V648" s="63">
        <f t="shared" si="3344"/>
        <v>0</v>
      </c>
      <c r="W648" s="63">
        <f t="shared" si="3345"/>
        <v>0</v>
      </c>
      <c r="X648" s="64">
        <f t="shared" ref="X648:Y648" si="3386">IF(O648&gt;0,O648/K648,0)</f>
        <v>0</v>
      </c>
      <c r="Y648" s="64">
        <f t="shared" si="3386"/>
        <v>0</v>
      </c>
      <c r="Z648" s="64">
        <f t="shared" si="3262"/>
        <v>0</v>
      </c>
      <c r="AA648" s="65"/>
      <c r="AB648" s="65"/>
      <c r="AC648" s="65"/>
      <c r="AD648" s="65"/>
      <c r="AE648" s="66"/>
      <c r="AF648" s="66"/>
      <c r="AG648" s="66"/>
      <c r="AH648" s="66"/>
      <c r="AI648" s="65"/>
      <c r="AJ648" s="65"/>
      <c r="AK648" s="65"/>
      <c r="AL648" s="65"/>
      <c r="AM648" s="65"/>
      <c r="AN648" s="65"/>
      <c r="AO648" s="65"/>
      <c r="AP648" s="65"/>
      <c r="AQ648" s="65"/>
      <c r="AR648" s="65"/>
      <c r="AS648" s="65"/>
      <c r="AT648" s="65"/>
      <c r="AU648" s="65"/>
      <c r="AV648" s="65"/>
      <c r="AW648" s="65"/>
      <c r="AX648" s="65"/>
      <c r="AY648" s="65"/>
      <c r="AZ648" s="65"/>
      <c r="BA648" s="65"/>
      <c r="BB648" s="65"/>
      <c r="BC648" s="65"/>
      <c r="BD648" s="65"/>
      <c r="BE648" s="65"/>
      <c r="BF648" s="65"/>
      <c r="BG648" s="65"/>
      <c r="BH648" s="65"/>
      <c r="BI648" s="65"/>
      <c r="BJ648" s="65"/>
      <c r="BK648" s="65">
        <v>0</v>
      </c>
      <c r="BL648" s="65">
        <v>0</v>
      </c>
      <c r="BM648" s="65">
        <v>0</v>
      </c>
      <c r="BN648" s="65">
        <f t="shared" si="3347"/>
        <v>0</v>
      </c>
      <c r="BO648" s="67">
        <f t="shared" si="3348"/>
        <v>0</v>
      </c>
      <c r="BP648" s="65">
        <f t="shared" si="3349"/>
        <v>0</v>
      </c>
      <c r="BQ648" s="65">
        <f t="shared" si="3350"/>
        <v>2160</v>
      </c>
      <c r="BR648" s="65">
        <f t="shared" si="3351"/>
        <v>0</v>
      </c>
      <c r="BS648" s="65">
        <f t="shared" si="3352"/>
        <v>2160</v>
      </c>
      <c r="BT648" s="65">
        <f t="shared" si="3353"/>
        <v>0</v>
      </c>
      <c r="BU648" s="65">
        <f t="shared" si="3354"/>
        <v>0</v>
      </c>
      <c r="BV648" s="65">
        <f t="shared" si="3355"/>
        <v>2160</v>
      </c>
      <c r="BW648" s="65">
        <f t="shared" si="3356"/>
        <v>2160</v>
      </c>
      <c r="BX648" s="6"/>
      <c r="BY648" s="6"/>
      <c r="BZ648" s="6"/>
      <c r="CA648" s="6"/>
      <c r="CB648" s="6"/>
      <c r="CC648" s="6"/>
      <c r="CD648" s="6"/>
      <c r="CE648" s="6"/>
      <c r="CF648" s="6"/>
      <c r="CG648" s="6"/>
    </row>
    <row r="649" spans="1:85" ht="15.75" customHeight="1">
      <c r="A649" s="52" t="s">
        <v>765</v>
      </c>
      <c r="B649" s="189"/>
      <c r="C649" s="104" t="s">
        <v>535</v>
      </c>
      <c r="D649" s="124" t="s">
        <v>766</v>
      </c>
      <c r="E649" s="99">
        <v>0</v>
      </c>
      <c r="F649" s="99">
        <v>0</v>
      </c>
      <c r="G649" s="58">
        <f t="shared" si="3340"/>
        <v>0</v>
      </c>
      <c r="H649" s="99">
        <v>0</v>
      </c>
      <c r="I649" s="59">
        <f t="shared" si="3007"/>
        <v>0</v>
      </c>
      <c r="J649" s="59">
        <f t="shared" si="2705"/>
        <v>0</v>
      </c>
      <c r="K649" s="74">
        <v>1374</v>
      </c>
      <c r="L649" s="74">
        <v>0</v>
      </c>
      <c r="M649" s="74">
        <v>0</v>
      </c>
      <c r="N649" s="74">
        <v>0</v>
      </c>
      <c r="O649" s="61">
        <f t="shared" ref="O649:Q649" si="3387">AA649+AD649+AG649+AJ649+AM649+AP649+AS649+AV649+AY649+BB649+BE649+BH649</f>
        <v>0</v>
      </c>
      <c r="P649" s="61">
        <f t="shared" si="3387"/>
        <v>0</v>
      </c>
      <c r="Q649" s="61">
        <f t="shared" si="3387"/>
        <v>0</v>
      </c>
      <c r="R649" s="61">
        <f t="shared" ref="R649:T649" si="3388">IF(BK649=0,SUM(AA649+AD649+AG649+AJ649+AM649+AP649+AS649+AV649+AY649+BB649+BE649+BH649),BK649)</f>
        <v>0</v>
      </c>
      <c r="S649" s="61">
        <f t="shared" si="3388"/>
        <v>0</v>
      </c>
      <c r="T649" s="61">
        <f t="shared" si="3388"/>
        <v>0</v>
      </c>
      <c r="U649" s="62">
        <f t="shared" si="3343"/>
        <v>1374</v>
      </c>
      <c r="V649" s="63">
        <f t="shared" si="3344"/>
        <v>0</v>
      </c>
      <c r="W649" s="63">
        <f t="shared" si="3345"/>
        <v>0</v>
      </c>
      <c r="X649" s="64">
        <f t="shared" ref="X649:Y649" si="3389">IF(O649&gt;0,O649/K649,0)</f>
        <v>0</v>
      </c>
      <c r="Y649" s="64">
        <f t="shared" si="3389"/>
        <v>0</v>
      </c>
      <c r="Z649" s="64">
        <f t="shared" si="3262"/>
        <v>0</v>
      </c>
      <c r="AA649" s="65"/>
      <c r="AB649" s="65"/>
      <c r="AC649" s="65"/>
      <c r="AD649" s="65"/>
      <c r="AE649" s="66"/>
      <c r="AF649" s="66"/>
      <c r="AG649" s="66"/>
      <c r="AH649" s="66"/>
      <c r="AI649" s="65"/>
      <c r="AJ649" s="65"/>
      <c r="AK649" s="65"/>
      <c r="AL649" s="65"/>
      <c r="AM649" s="65"/>
      <c r="AN649" s="65"/>
      <c r="AO649" s="65"/>
      <c r="AP649" s="65"/>
      <c r="AQ649" s="65"/>
      <c r="AR649" s="65"/>
      <c r="AS649" s="65"/>
      <c r="AT649" s="65"/>
      <c r="AU649" s="65"/>
      <c r="AV649" s="65"/>
      <c r="AW649" s="65"/>
      <c r="AX649" s="65"/>
      <c r="AY649" s="65"/>
      <c r="AZ649" s="65"/>
      <c r="BA649" s="65"/>
      <c r="BB649" s="65"/>
      <c r="BC649" s="65"/>
      <c r="BD649" s="65"/>
      <c r="BE649" s="65"/>
      <c r="BF649" s="65"/>
      <c r="BG649" s="65"/>
      <c r="BH649" s="65"/>
      <c r="BI649" s="65"/>
      <c r="BJ649" s="65"/>
      <c r="BK649" s="65">
        <v>0</v>
      </c>
      <c r="BL649" s="65">
        <v>0</v>
      </c>
      <c r="BM649" s="65">
        <v>0</v>
      </c>
      <c r="BN649" s="65">
        <f t="shared" si="3347"/>
        <v>0</v>
      </c>
      <c r="BO649" s="67">
        <f t="shared" si="3348"/>
        <v>0</v>
      </c>
      <c r="BP649" s="65">
        <f t="shared" si="3349"/>
        <v>0</v>
      </c>
      <c r="BQ649" s="65">
        <f t="shared" si="3350"/>
        <v>1374</v>
      </c>
      <c r="BR649" s="65">
        <f t="shared" si="3351"/>
        <v>0</v>
      </c>
      <c r="BS649" s="65">
        <f t="shared" si="3352"/>
        <v>1374</v>
      </c>
      <c r="BT649" s="65">
        <f t="shared" si="3353"/>
        <v>0</v>
      </c>
      <c r="BU649" s="65">
        <f t="shared" si="3354"/>
        <v>0</v>
      </c>
      <c r="BV649" s="65">
        <f t="shared" si="3355"/>
        <v>1374</v>
      </c>
      <c r="BW649" s="65">
        <f t="shared" si="3356"/>
        <v>1374</v>
      </c>
      <c r="BX649" s="6"/>
      <c r="BY649" s="6"/>
      <c r="BZ649" s="6"/>
      <c r="CA649" s="6"/>
      <c r="CB649" s="6"/>
      <c r="CC649" s="6"/>
      <c r="CD649" s="6"/>
      <c r="CE649" s="6"/>
      <c r="CF649" s="6"/>
      <c r="CG649" s="6"/>
    </row>
    <row r="650" spans="1:85" ht="15.75" customHeight="1">
      <c r="A650" s="52" t="s">
        <v>767</v>
      </c>
      <c r="B650" s="189"/>
      <c r="C650" s="104" t="s">
        <v>535</v>
      </c>
      <c r="D650" s="124" t="s">
        <v>768</v>
      </c>
      <c r="E650" s="99">
        <v>0</v>
      </c>
      <c r="F650" s="99">
        <v>0</v>
      </c>
      <c r="G650" s="58">
        <f t="shared" si="3340"/>
        <v>0</v>
      </c>
      <c r="H650" s="99">
        <v>0</v>
      </c>
      <c r="I650" s="59">
        <f t="shared" si="3007"/>
        <v>0</v>
      </c>
      <c r="J650" s="59">
        <f t="shared" si="2705"/>
        <v>0</v>
      </c>
      <c r="K650" s="74">
        <v>537</v>
      </c>
      <c r="L650" s="74">
        <v>0</v>
      </c>
      <c r="M650" s="74">
        <v>0</v>
      </c>
      <c r="N650" s="74">
        <v>0</v>
      </c>
      <c r="O650" s="61">
        <f t="shared" ref="O650:Q650" si="3390">AA650+AD650+AG650+AJ650+AM650+AP650+AS650+AV650+AY650+BB650+BE650+BH650</f>
        <v>537</v>
      </c>
      <c r="P650" s="61">
        <f t="shared" si="3390"/>
        <v>0</v>
      </c>
      <c r="Q650" s="61">
        <f t="shared" si="3390"/>
        <v>0</v>
      </c>
      <c r="R650" s="61">
        <f t="shared" ref="R650:T650" si="3391">IF(BK650=0,SUM(AA650+AD650+AG650+AJ650+AM650+AP650+AS650+AV650+AY650+BB650+BE650+BH650),BK650)</f>
        <v>537</v>
      </c>
      <c r="S650" s="61">
        <f t="shared" si="3391"/>
        <v>0</v>
      </c>
      <c r="T650" s="61">
        <f t="shared" si="3391"/>
        <v>0</v>
      </c>
      <c r="U650" s="63">
        <f t="shared" si="3343"/>
        <v>0</v>
      </c>
      <c r="V650" s="63">
        <f t="shared" si="3344"/>
        <v>0</v>
      </c>
      <c r="W650" s="63">
        <f t="shared" si="3345"/>
        <v>0</v>
      </c>
      <c r="X650" s="64">
        <f t="shared" ref="X650:Y650" si="3392">IF(O650&gt;0,O650/K650,0)</f>
        <v>1</v>
      </c>
      <c r="Y650" s="64">
        <f t="shared" si="3392"/>
        <v>0</v>
      </c>
      <c r="Z650" s="64">
        <f t="shared" si="3262"/>
        <v>0</v>
      </c>
      <c r="AA650" s="65"/>
      <c r="AB650" s="65"/>
      <c r="AC650" s="65"/>
      <c r="AD650" s="65"/>
      <c r="AE650" s="66"/>
      <c r="AF650" s="66"/>
      <c r="AG650" s="66"/>
      <c r="AH650" s="66"/>
      <c r="AI650" s="65"/>
      <c r="AJ650" s="65"/>
      <c r="AK650" s="65"/>
      <c r="AL650" s="65"/>
      <c r="AM650" s="65"/>
      <c r="AN650" s="65"/>
      <c r="AO650" s="65"/>
      <c r="AP650" s="100">
        <v>537</v>
      </c>
      <c r="AQ650" s="65"/>
      <c r="AR650" s="65"/>
      <c r="AS650" s="65"/>
      <c r="AT650" s="65"/>
      <c r="AU650" s="65"/>
      <c r="AV650" s="65"/>
      <c r="AW650" s="65"/>
      <c r="AX650" s="65"/>
      <c r="AY650" s="65"/>
      <c r="AZ650" s="65"/>
      <c r="BA650" s="65"/>
      <c r="BB650" s="65"/>
      <c r="BC650" s="65"/>
      <c r="BD650" s="65"/>
      <c r="BE650" s="65"/>
      <c r="BF650" s="65"/>
      <c r="BG650" s="65"/>
      <c r="BH650" s="65"/>
      <c r="BI650" s="65"/>
      <c r="BJ650" s="65"/>
      <c r="BK650" s="65">
        <v>0</v>
      </c>
      <c r="BL650" s="65">
        <v>0</v>
      </c>
      <c r="BM650" s="65">
        <v>0</v>
      </c>
      <c r="BN650" s="65">
        <f t="shared" si="3347"/>
        <v>537</v>
      </c>
      <c r="BO650" s="67">
        <f t="shared" si="3348"/>
        <v>0</v>
      </c>
      <c r="BP650" s="65">
        <f t="shared" si="3349"/>
        <v>537</v>
      </c>
      <c r="BQ650" s="65">
        <f t="shared" si="3350"/>
        <v>0</v>
      </c>
      <c r="BR650" s="65">
        <f t="shared" si="3351"/>
        <v>0</v>
      </c>
      <c r="BS650" s="65">
        <f t="shared" si="3352"/>
        <v>0</v>
      </c>
      <c r="BT650" s="65">
        <f t="shared" si="3353"/>
        <v>0</v>
      </c>
      <c r="BU650" s="65">
        <f t="shared" si="3354"/>
        <v>537</v>
      </c>
      <c r="BV650" s="65">
        <f t="shared" si="3355"/>
        <v>0</v>
      </c>
      <c r="BW650" s="65">
        <f t="shared" si="3356"/>
        <v>537</v>
      </c>
      <c r="BX650" s="6"/>
      <c r="BY650" s="6"/>
      <c r="BZ650" s="6"/>
      <c r="CA650" s="6"/>
      <c r="CB650" s="6"/>
      <c r="CC650" s="6"/>
      <c r="CD650" s="6"/>
      <c r="CE650" s="6"/>
      <c r="CF650" s="6"/>
      <c r="CG650" s="6"/>
    </row>
    <row r="651" spans="1:85" ht="15.75" customHeight="1">
      <c r="A651" s="68"/>
      <c r="B651" s="68" t="s">
        <v>769</v>
      </c>
      <c r="C651" s="68" t="s">
        <v>770</v>
      </c>
      <c r="D651" s="122" t="s">
        <v>771</v>
      </c>
      <c r="E651" s="56">
        <v>15000</v>
      </c>
      <c r="F651" s="99">
        <v>0</v>
      </c>
      <c r="G651" s="58">
        <f t="shared" si="3340"/>
        <v>15000</v>
      </c>
      <c r="H651" s="99">
        <v>0</v>
      </c>
      <c r="I651" s="59">
        <f t="shared" si="3007"/>
        <v>0</v>
      </c>
      <c r="J651" s="59">
        <f t="shared" si="2705"/>
        <v>0</v>
      </c>
      <c r="K651" s="74">
        <v>0</v>
      </c>
      <c r="L651" s="376">
        <v>13180</v>
      </c>
      <c r="M651" s="74">
        <v>0</v>
      </c>
      <c r="N651" s="74">
        <v>0</v>
      </c>
      <c r="O651" s="61">
        <f t="shared" ref="O651:Q651" si="3393">AA651+AD651+AG651+AJ651+AM651+AP651+AS651+AV651+AY651+BB651+BE651+BH651</f>
        <v>0</v>
      </c>
      <c r="P651" s="61">
        <f t="shared" si="3393"/>
        <v>13180</v>
      </c>
      <c r="Q651" s="61">
        <f t="shared" si="3393"/>
        <v>0</v>
      </c>
      <c r="R651" s="61">
        <f t="shared" ref="R651:T651" si="3394">IF(BK651=0,SUM(AA651+AD651+AG651+AJ651+AM651+AP651+AS651+AV651+AY651+BB651+BE651+BH651),BK651)</f>
        <v>0</v>
      </c>
      <c r="S651" s="61">
        <f t="shared" si="3394"/>
        <v>13180</v>
      </c>
      <c r="T651" s="61">
        <f t="shared" si="3394"/>
        <v>0</v>
      </c>
      <c r="U651" s="63">
        <f t="shared" si="3343"/>
        <v>0</v>
      </c>
      <c r="V651" s="63">
        <f t="shared" si="3344"/>
        <v>0</v>
      </c>
      <c r="W651" s="63">
        <f t="shared" si="3345"/>
        <v>0</v>
      </c>
      <c r="X651" s="64">
        <f t="shared" ref="X651:Y651" si="3395">IF(O651&gt;0,O651/K651,0)</f>
        <v>0</v>
      </c>
      <c r="Y651" s="64">
        <f t="shared" si="3395"/>
        <v>1</v>
      </c>
      <c r="Z651" s="64">
        <f t="shared" si="3262"/>
        <v>0</v>
      </c>
      <c r="AA651" s="65"/>
      <c r="AB651" s="65"/>
      <c r="AC651" s="65"/>
      <c r="AD651" s="65"/>
      <c r="AE651" s="66"/>
      <c r="AF651" s="66"/>
      <c r="AG651" s="66"/>
      <c r="AH651" s="66">
        <f>13180</f>
        <v>13180</v>
      </c>
      <c r="AI651" s="65"/>
      <c r="AJ651" s="65"/>
      <c r="AK651" s="65"/>
      <c r="AL651" s="65"/>
      <c r="AM651" s="65"/>
      <c r="AN651" s="65"/>
      <c r="AO651" s="65"/>
      <c r="AP651" s="65"/>
      <c r="AQ651" s="65"/>
      <c r="AR651" s="65"/>
      <c r="AS651" s="65"/>
      <c r="AT651" s="65"/>
      <c r="AU651" s="65"/>
      <c r="AV651" s="65"/>
      <c r="AW651" s="65"/>
      <c r="AX651" s="65"/>
      <c r="AY651" s="65"/>
      <c r="AZ651" s="65"/>
      <c r="BA651" s="65"/>
      <c r="BB651" s="65"/>
      <c r="BC651" s="65"/>
      <c r="BD651" s="65"/>
      <c r="BE651" s="65"/>
      <c r="BF651" s="65"/>
      <c r="BG651" s="65"/>
      <c r="BH651" s="65"/>
      <c r="BI651" s="65"/>
      <c r="BJ651" s="65"/>
      <c r="BK651" s="65">
        <v>0</v>
      </c>
      <c r="BL651" s="65">
        <v>0</v>
      </c>
      <c r="BM651" s="65">
        <v>0</v>
      </c>
      <c r="BN651" s="65">
        <f t="shared" si="3347"/>
        <v>0</v>
      </c>
      <c r="BO651" s="67">
        <f t="shared" si="3348"/>
        <v>0</v>
      </c>
      <c r="BP651" s="65">
        <f t="shared" si="3349"/>
        <v>0</v>
      </c>
      <c r="BQ651" s="65">
        <f t="shared" si="3350"/>
        <v>0</v>
      </c>
      <c r="BR651" s="65">
        <f t="shared" si="3351"/>
        <v>0</v>
      </c>
      <c r="BS651" s="65">
        <f t="shared" si="3352"/>
        <v>0</v>
      </c>
      <c r="BT651" s="65">
        <f t="shared" si="3353"/>
        <v>0</v>
      </c>
      <c r="BU651" s="65">
        <f t="shared" si="3354"/>
        <v>0</v>
      </c>
      <c r="BV651" s="65">
        <f t="shared" si="3355"/>
        <v>0</v>
      </c>
      <c r="BW651" s="65">
        <f t="shared" si="3356"/>
        <v>0</v>
      </c>
      <c r="BX651" s="6"/>
      <c r="BY651" s="6"/>
      <c r="BZ651" s="6"/>
      <c r="CA651" s="6"/>
      <c r="CB651" s="6"/>
      <c r="CC651" s="6"/>
      <c r="CD651" s="6"/>
      <c r="CE651" s="6"/>
      <c r="CF651" s="6"/>
      <c r="CG651" s="6"/>
    </row>
    <row r="652" spans="1:85" ht="15.75" customHeight="1">
      <c r="A652" s="54"/>
      <c r="B652" s="54" t="s">
        <v>772</v>
      </c>
      <c r="C652" s="68" t="s">
        <v>770</v>
      </c>
      <c r="D652" s="122" t="s">
        <v>771</v>
      </c>
      <c r="E652" s="99">
        <v>0</v>
      </c>
      <c r="F652" s="99">
        <v>0</v>
      </c>
      <c r="G652" s="58">
        <f t="shared" si="3340"/>
        <v>0</v>
      </c>
      <c r="H652" s="99">
        <v>0</v>
      </c>
      <c r="I652" s="59">
        <f t="shared" si="3007"/>
        <v>0</v>
      </c>
      <c r="J652" s="59">
        <f t="shared" si="2705"/>
        <v>0</v>
      </c>
      <c r="K652" s="74">
        <v>0</v>
      </c>
      <c r="L652" s="376">
        <v>5290</v>
      </c>
      <c r="M652" s="74">
        <v>0</v>
      </c>
      <c r="N652" s="74">
        <v>0</v>
      </c>
      <c r="O652" s="61">
        <f t="shared" ref="O652:Q652" si="3396">AA652+AD652+AG652+AJ652+AM652+AP652+AS652+AV652+AY652+BB652+BE652+BH652</f>
        <v>0</v>
      </c>
      <c r="P652" s="61">
        <f t="shared" si="3396"/>
        <v>2645</v>
      </c>
      <c r="Q652" s="61">
        <f t="shared" si="3396"/>
        <v>0</v>
      </c>
      <c r="R652" s="61">
        <f t="shared" ref="R652:T652" si="3397">IF(BK652=0,SUM(AA652+AD652+AG652+AJ652+AM652+AP652+AS652+AV652+AY652+BB652+BE652+BH652),BK652)</f>
        <v>0</v>
      </c>
      <c r="S652" s="61">
        <f t="shared" si="3397"/>
        <v>2645</v>
      </c>
      <c r="T652" s="61">
        <f t="shared" si="3397"/>
        <v>0</v>
      </c>
      <c r="U652" s="63">
        <f t="shared" si="3343"/>
        <v>0</v>
      </c>
      <c r="V652" s="62">
        <f t="shared" si="3344"/>
        <v>2645</v>
      </c>
      <c r="W652" s="63">
        <f t="shared" si="3345"/>
        <v>0</v>
      </c>
      <c r="X652" s="64">
        <f t="shared" ref="X652:Y652" si="3398">IF(O652&gt;0,O652/K652,0)</f>
        <v>0</v>
      </c>
      <c r="Y652" s="64">
        <f t="shared" si="3398"/>
        <v>0.5</v>
      </c>
      <c r="Z652" s="64">
        <f t="shared" si="3262"/>
        <v>0</v>
      </c>
      <c r="AA652" s="65"/>
      <c r="AB652" s="65"/>
      <c r="AC652" s="65"/>
      <c r="AD652" s="65"/>
      <c r="AE652" s="66"/>
      <c r="AF652" s="66"/>
      <c r="AG652" s="66"/>
      <c r="AH652" s="66">
        <f>2645</f>
        <v>2645</v>
      </c>
      <c r="AI652" s="65"/>
      <c r="AJ652" s="65"/>
      <c r="AK652" s="65"/>
      <c r="AL652" s="65"/>
      <c r="AM652" s="65"/>
      <c r="AN652" s="65"/>
      <c r="AO652" s="65"/>
      <c r="AP652" s="65"/>
      <c r="AQ652" s="65"/>
      <c r="AR652" s="65"/>
      <c r="AS652" s="65"/>
      <c r="AT652" s="65"/>
      <c r="AU652" s="65"/>
      <c r="AV652" s="65"/>
      <c r="AW652" s="65"/>
      <c r="AX652" s="65"/>
      <c r="AY652" s="65"/>
      <c r="AZ652" s="65"/>
      <c r="BA652" s="65"/>
      <c r="BB652" s="65"/>
      <c r="BC652" s="65"/>
      <c r="BD652" s="65"/>
      <c r="BE652" s="65"/>
      <c r="BF652" s="65"/>
      <c r="BG652" s="65"/>
      <c r="BH652" s="65"/>
      <c r="BI652" s="65"/>
      <c r="BJ652" s="65"/>
      <c r="BK652" s="65">
        <v>0</v>
      </c>
      <c r="BL652" s="65">
        <v>0</v>
      </c>
      <c r="BM652" s="65">
        <v>0</v>
      </c>
      <c r="BN652" s="65">
        <f t="shared" si="3347"/>
        <v>0</v>
      </c>
      <c r="BO652" s="67">
        <f t="shared" si="3348"/>
        <v>0</v>
      </c>
      <c r="BP652" s="65">
        <f t="shared" si="3349"/>
        <v>0</v>
      </c>
      <c r="BQ652" s="65">
        <f t="shared" si="3350"/>
        <v>0</v>
      </c>
      <c r="BR652" s="65">
        <f t="shared" si="3351"/>
        <v>0</v>
      </c>
      <c r="BS652" s="65">
        <f t="shared" si="3352"/>
        <v>0</v>
      </c>
      <c r="BT652" s="65">
        <f t="shared" si="3353"/>
        <v>2645</v>
      </c>
      <c r="BU652" s="65">
        <f t="shared" si="3354"/>
        <v>0</v>
      </c>
      <c r="BV652" s="65">
        <f t="shared" si="3355"/>
        <v>0</v>
      </c>
      <c r="BW652" s="65">
        <f t="shared" si="3356"/>
        <v>2645</v>
      </c>
      <c r="BX652" s="6"/>
      <c r="BY652" s="6"/>
      <c r="BZ652" s="6"/>
      <c r="CA652" s="6"/>
      <c r="CB652" s="6"/>
      <c r="CC652" s="6"/>
      <c r="CD652" s="6"/>
      <c r="CE652" s="6"/>
      <c r="CF652" s="6"/>
      <c r="CG652" s="6"/>
    </row>
    <row r="653" spans="1:85" ht="15.75" customHeight="1">
      <c r="A653" s="52" t="s">
        <v>773</v>
      </c>
      <c r="B653" s="102"/>
      <c r="C653" s="68" t="s">
        <v>770</v>
      </c>
      <c r="D653" s="124" t="s">
        <v>774</v>
      </c>
      <c r="E653" s="99">
        <v>0</v>
      </c>
      <c r="F653" s="99">
        <v>0</v>
      </c>
      <c r="G653" s="58">
        <f t="shared" si="3340"/>
        <v>0</v>
      </c>
      <c r="H653" s="99">
        <v>0</v>
      </c>
      <c r="I653" s="59">
        <f t="shared" si="3007"/>
        <v>0</v>
      </c>
      <c r="J653" s="59">
        <f t="shared" si="2705"/>
        <v>0</v>
      </c>
      <c r="K653" s="74">
        <v>7800</v>
      </c>
      <c r="L653" s="376">
        <v>0</v>
      </c>
      <c r="M653" s="74">
        <v>0</v>
      </c>
      <c r="N653" s="74">
        <v>0</v>
      </c>
      <c r="O653" s="61">
        <f t="shared" ref="O653:Q653" si="3399">AA653+AD653+AG653+AJ653+AM653+AP653+AS653+AV653+AY653+BB653+BE653+BH653</f>
        <v>0</v>
      </c>
      <c r="P653" s="61">
        <f t="shared" si="3399"/>
        <v>0</v>
      </c>
      <c r="Q653" s="61">
        <f t="shared" si="3399"/>
        <v>0</v>
      </c>
      <c r="R653" s="61">
        <f t="shared" ref="R653:T653" si="3400">IF(BK653=0,SUM(AA653+AD653+AG653+AJ653+AM653+AP653+AS653+AV653+AY653+BB653+BE653+BH653),BK653)</f>
        <v>0</v>
      </c>
      <c r="S653" s="61">
        <f t="shared" si="3400"/>
        <v>0</v>
      </c>
      <c r="T653" s="61">
        <f t="shared" si="3400"/>
        <v>0</v>
      </c>
      <c r="U653" s="62">
        <f t="shared" si="3343"/>
        <v>7800</v>
      </c>
      <c r="V653" s="62">
        <f t="shared" si="3344"/>
        <v>0</v>
      </c>
      <c r="W653" s="63">
        <f t="shared" si="3345"/>
        <v>0</v>
      </c>
      <c r="X653" s="64">
        <f t="shared" ref="X653:Y653" si="3401">IF(O653&gt;0,O653/K653,0)</f>
        <v>0</v>
      </c>
      <c r="Y653" s="64">
        <f t="shared" si="3401"/>
        <v>0</v>
      </c>
      <c r="Z653" s="64">
        <f t="shared" si="3262"/>
        <v>0</v>
      </c>
      <c r="AA653" s="65"/>
      <c r="AB653" s="65"/>
      <c r="AC653" s="65"/>
      <c r="AD653" s="65"/>
      <c r="AE653" s="66"/>
      <c r="AF653" s="66"/>
      <c r="AG653" s="66"/>
      <c r="AH653" s="66"/>
      <c r="AI653" s="65"/>
      <c r="AJ653" s="65"/>
      <c r="AK653" s="65"/>
      <c r="AL653" s="65"/>
      <c r="AM653" s="65"/>
      <c r="AN653" s="65"/>
      <c r="AO653" s="65"/>
      <c r="AP653" s="65"/>
      <c r="AQ653" s="65"/>
      <c r="AR653" s="65"/>
      <c r="AS653" s="65"/>
      <c r="AT653" s="65"/>
      <c r="AU653" s="65"/>
      <c r="AV653" s="65"/>
      <c r="AW653" s="65"/>
      <c r="AX653" s="65"/>
      <c r="AY653" s="65"/>
      <c r="AZ653" s="65"/>
      <c r="BA653" s="65"/>
      <c r="BB653" s="65"/>
      <c r="BC653" s="65"/>
      <c r="BD653" s="65"/>
      <c r="BE653" s="65"/>
      <c r="BF653" s="65"/>
      <c r="BG653" s="65"/>
      <c r="BH653" s="65"/>
      <c r="BI653" s="65"/>
      <c r="BJ653" s="65"/>
      <c r="BK653" s="65">
        <v>0</v>
      </c>
      <c r="BL653" s="65">
        <v>0</v>
      </c>
      <c r="BM653" s="65">
        <v>0</v>
      </c>
      <c r="BN653" s="65">
        <f t="shared" si="3347"/>
        <v>0</v>
      </c>
      <c r="BO653" s="67">
        <f t="shared" si="3348"/>
        <v>0</v>
      </c>
      <c r="BP653" s="65">
        <f t="shared" si="3349"/>
        <v>0</v>
      </c>
      <c r="BQ653" s="65">
        <f t="shared" si="3350"/>
        <v>7800</v>
      </c>
      <c r="BR653" s="65">
        <f t="shared" si="3351"/>
        <v>0</v>
      </c>
      <c r="BS653" s="65">
        <f t="shared" si="3352"/>
        <v>7800</v>
      </c>
      <c r="BT653" s="65">
        <f t="shared" si="3353"/>
        <v>0</v>
      </c>
      <c r="BU653" s="65">
        <f t="shared" si="3354"/>
        <v>0</v>
      </c>
      <c r="BV653" s="65">
        <f t="shared" si="3355"/>
        <v>7800</v>
      </c>
      <c r="BW653" s="65">
        <f t="shared" si="3356"/>
        <v>7800</v>
      </c>
      <c r="BX653" s="6"/>
      <c r="BY653" s="6"/>
      <c r="BZ653" s="6"/>
      <c r="CA653" s="6"/>
      <c r="CB653" s="6"/>
      <c r="CC653" s="6"/>
      <c r="CD653" s="6"/>
      <c r="CE653" s="6"/>
      <c r="CF653" s="6"/>
      <c r="CG653" s="6"/>
    </row>
    <row r="654" spans="1:85" ht="15.75" customHeight="1">
      <c r="A654" s="54"/>
      <c r="B654" s="103" t="s">
        <v>775</v>
      </c>
      <c r="C654" s="68" t="s">
        <v>434</v>
      </c>
      <c r="D654" s="122" t="s">
        <v>776</v>
      </c>
      <c r="E654" s="56">
        <v>40000</v>
      </c>
      <c r="F654" s="99">
        <v>0</v>
      </c>
      <c r="G654" s="58">
        <f t="shared" si="3340"/>
        <v>40000</v>
      </c>
      <c r="H654" s="99">
        <v>0</v>
      </c>
      <c r="I654" s="59">
        <f t="shared" si="3007"/>
        <v>0</v>
      </c>
      <c r="J654" s="59">
        <f t="shared" si="2705"/>
        <v>0</v>
      </c>
      <c r="K654" s="74">
        <v>0</v>
      </c>
      <c r="L654" s="67">
        <v>6857.41</v>
      </c>
      <c r="M654" s="74">
        <v>0</v>
      </c>
      <c r="N654" s="74">
        <v>0</v>
      </c>
      <c r="O654" s="61">
        <f t="shared" ref="O654:Q654" si="3402">AA654+AD654+AG654+AJ654+AM654+AP654+AS654+AV654+AY654+BB654+BE654+BH654</f>
        <v>0</v>
      </c>
      <c r="P654" s="61">
        <f t="shared" si="3402"/>
        <v>0</v>
      </c>
      <c r="Q654" s="61">
        <f t="shared" si="3402"/>
        <v>0</v>
      </c>
      <c r="R654" s="61">
        <f t="shared" ref="R654:T654" si="3403">IF(BK654=0,SUM(AA654+AD654+AG654+AJ654+AM654+AP654+AS654+AV654+AY654+BB654+BE654+BH654),BK654)</f>
        <v>0</v>
      </c>
      <c r="S654" s="61">
        <f t="shared" si="3403"/>
        <v>0</v>
      </c>
      <c r="T654" s="61">
        <f t="shared" si="3403"/>
        <v>0</v>
      </c>
      <c r="U654" s="63">
        <f t="shared" si="3343"/>
        <v>0</v>
      </c>
      <c r="V654" s="62">
        <f t="shared" si="3344"/>
        <v>6857.41</v>
      </c>
      <c r="W654" s="63">
        <f t="shared" si="3345"/>
        <v>0</v>
      </c>
      <c r="X654" s="64">
        <f t="shared" ref="X654:Y654" si="3404">IF(O654&gt;0,O654/K654,0)</f>
        <v>0</v>
      </c>
      <c r="Y654" s="64">
        <f t="shared" si="3404"/>
        <v>0</v>
      </c>
      <c r="Z654" s="64">
        <f t="shared" si="3262"/>
        <v>0</v>
      </c>
      <c r="AA654" s="65"/>
      <c r="AB654" s="65"/>
      <c r="AC654" s="65"/>
      <c r="AD654" s="65"/>
      <c r="AE654" s="66"/>
      <c r="AF654" s="66"/>
      <c r="AG654" s="66"/>
      <c r="AH654" s="66"/>
      <c r="AI654" s="65"/>
      <c r="AJ654" s="65"/>
      <c r="AK654" s="65"/>
      <c r="AL654" s="65"/>
      <c r="AM654" s="65"/>
      <c r="AN654" s="65"/>
      <c r="AO654" s="65"/>
      <c r="AP654" s="65"/>
      <c r="AQ654" s="65"/>
      <c r="AR654" s="65"/>
      <c r="AS654" s="65"/>
      <c r="AT654" s="65"/>
      <c r="AU654" s="65"/>
      <c r="AV654" s="65"/>
      <c r="AW654" s="65"/>
      <c r="AX654" s="65"/>
      <c r="AY654" s="65"/>
      <c r="AZ654" s="65"/>
      <c r="BA654" s="65"/>
      <c r="BB654" s="65"/>
      <c r="BC654" s="65"/>
      <c r="BD654" s="65"/>
      <c r="BE654" s="65"/>
      <c r="BF654" s="65"/>
      <c r="BG654" s="65"/>
      <c r="BH654" s="65"/>
      <c r="BI654" s="65"/>
      <c r="BJ654" s="65"/>
      <c r="BK654" s="65">
        <v>0</v>
      </c>
      <c r="BL654" s="65">
        <v>0</v>
      </c>
      <c r="BM654" s="65">
        <v>0</v>
      </c>
      <c r="BN654" s="65">
        <f t="shared" si="3347"/>
        <v>0</v>
      </c>
      <c r="BO654" s="67">
        <f t="shared" si="3348"/>
        <v>0</v>
      </c>
      <c r="BP654" s="65">
        <f t="shared" si="3349"/>
        <v>0</v>
      </c>
      <c r="BQ654" s="65">
        <f t="shared" si="3350"/>
        <v>0</v>
      </c>
      <c r="BR654" s="65">
        <f t="shared" si="3351"/>
        <v>0</v>
      </c>
      <c r="BS654" s="65">
        <f t="shared" si="3352"/>
        <v>0</v>
      </c>
      <c r="BT654" s="65">
        <f t="shared" si="3353"/>
        <v>6857.41</v>
      </c>
      <c r="BU654" s="65">
        <f t="shared" si="3354"/>
        <v>0</v>
      </c>
      <c r="BV654" s="65">
        <f t="shared" si="3355"/>
        <v>0</v>
      </c>
      <c r="BW654" s="65">
        <f t="shared" si="3356"/>
        <v>6857.41</v>
      </c>
      <c r="BX654" s="6"/>
      <c r="BY654" s="6"/>
      <c r="BZ654" s="6"/>
      <c r="CA654" s="6"/>
      <c r="CB654" s="6"/>
      <c r="CC654" s="6"/>
      <c r="CD654" s="6"/>
      <c r="CE654" s="6"/>
      <c r="CF654" s="6"/>
      <c r="CG654" s="6"/>
    </row>
    <row r="655" spans="1:85" ht="15.75" customHeight="1">
      <c r="A655" s="52" t="s">
        <v>777</v>
      </c>
      <c r="B655" s="346"/>
      <c r="C655" s="68" t="s">
        <v>434</v>
      </c>
      <c r="D655" s="378" t="s">
        <v>778</v>
      </c>
      <c r="E655" s="57">
        <v>0</v>
      </c>
      <c r="F655" s="57">
        <v>0</v>
      </c>
      <c r="G655" s="99">
        <f t="shared" si="3340"/>
        <v>0</v>
      </c>
      <c r="H655" s="57">
        <v>0</v>
      </c>
      <c r="I655" s="59">
        <f t="shared" si="3007"/>
        <v>0</v>
      </c>
      <c r="J655" s="59">
        <f t="shared" si="2705"/>
        <v>0</v>
      </c>
      <c r="K655" s="74">
        <v>10695</v>
      </c>
      <c r="L655" s="74">
        <v>0</v>
      </c>
      <c r="M655" s="74">
        <v>0</v>
      </c>
      <c r="N655" s="74">
        <v>0</v>
      </c>
      <c r="O655" s="63">
        <f t="shared" ref="O655:Q655" si="3405">AA655+AD655+AG655+AJ655+AM655+AP655+AS655+AV655+AY655+BB655+BE655+BH655</f>
        <v>10695</v>
      </c>
      <c r="P655" s="61">
        <f t="shared" si="3405"/>
        <v>0</v>
      </c>
      <c r="Q655" s="61">
        <f t="shared" si="3405"/>
        <v>0</v>
      </c>
      <c r="R655" s="61">
        <f t="shared" ref="R655:T655" si="3406">IF(BK655=0,SUM(AA655+AD655+AG655+AJ655+AM655+AP655+AS655+AV655+AY655+BB655+BE655+BH655),BK655)</f>
        <v>10695</v>
      </c>
      <c r="S655" s="61">
        <f t="shared" si="3406"/>
        <v>0</v>
      </c>
      <c r="T655" s="61">
        <f t="shared" si="3406"/>
        <v>0</v>
      </c>
      <c r="U655" s="63">
        <f t="shared" si="3343"/>
        <v>0</v>
      </c>
      <c r="V655" s="63">
        <f t="shared" si="3344"/>
        <v>0</v>
      </c>
      <c r="W655" s="63">
        <f t="shared" si="3345"/>
        <v>0</v>
      </c>
      <c r="X655" s="64">
        <f t="shared" ref="X655:Y655" si="3407">IF(O655&gt;0,O655/K655,0)</f>
        <v>1</v>
      </c>
      <c r="Y655" s="64">
        <f t="shared" si="3407"/>
        <v>0</v>
      </c>
      <c r="Z655" s="64">
        <f t="shared" si="3262"/>
        <v>0</v>
      </c>
      <c r="AA655" s="85"/>
      <c r="AB655" s="85"/>
      <c r="AC655" s="85"/>
      <c r="AD655" s="60">
        <v>10695</v>
      </c>
      <c r="AE655" s="86"/>
      <c r="AF655" s="86"/>
      <c r="AG655" s="86"/>
      <c r="AH655" s="86"/>
      <c r="AI655" s="85"/>
      <c r="AJ655" s="85"/>
      <c r="AK655" s="85"/>
      <c r="AL655" s="85"/>
      <c r="AM655" s="85"/>
      <c r="AN655" s="85"/>
      <c r="AO655" s="85"/>
      <c r="AP655" s="85"/>
      <c r="AQ655" s="85"/>
      <c r="AR655" s="85"/>
      <c r="AS655" s="85"/>
      <c r="AT655" s="85"/>
      <c r="AU655" s="85"/>
      <c r="AV655" s="85"/>
      <c r="AW655" s="85"/>
      <c r="AX655" s="85"/>
      <c r="AY655" s="85"/>
      <c r="AZ655" s="85"/>
      <c r="BA655" s="85"/>
      <c r="BB655" s="85"/>
      <c r="BC655" s="85"/>
      <c r="BD655" s="85"/>
      <c r="BE655" s="85"/>
      <c r="BF655" s="85"/>
      <c r="BG655" s="85"/>
      <c r="BH655" s="85"/>
      <c r="BI655" s="85"/>
      <c r="BJ655" s="85"/>
      <c r="BK655" s="65">
        <v>0</v>
      </c>
      <c r="BL655" s="65">
        <v>0</v>
      </c>
      <c r="BM655" s="65">
        <v>0</v>
      </c>
      <c r="BN655" s="65">
        <f t="shared" si="3347"/>
        <v>10695</v>
      </c>
      <c r="BO655" s="67">
        <f t="shared" si="3348"/>
        <v>0</v>
      </c>
      <c r="BP655" s="65">
        <f t="shared" si="3349"/>
        <v>10695</v>
      </c>
      <c r="BQ655" s="65">
        <f t="shared" si="3350"/>
        <v>0</v>
      </c>
      <c r="BR655" s="65">
        <f t="shared" si="3351"/>
        <v>0</v>
      </c>
      <c r="BS655" s="65">
        <f t="shared" si="3352"/>
        <v>0</v>
      </c>
      <c r="BT655" s="65">
        <f t="shared" si="3353"/>
        <v>0</v>
      </c>
      <c r="BU655" s="65">
        <f t="shared" si="3354"/>
        <v>10695</v>
      </c>
      <c r="BV655" s="65">
        <f t="shared" si="3355"/>
        <v>0</v>
      </c>
      <c r="BW655" s="65">
        <f t="shared" si="3356"/>
        <v>10695</v>
      </c>
      <c r="BX655" s="88"/>
      <c r="BY655" s="88"/>
      <c r="BZ655" s="88"/>
      <c r="CA655" s="88"/>
      <c r="CB655" s="88"/>
      <c r="CC655" s="88"/>
      <c r="CD655" s="88"/>
      <c r="CE655" s="88"/>
      <c r="CF655" s="88"/>
      <c r="CG655" s="88"/>
    </row>
    <row r="656" spans="1:85" ht="15.75" customHeight="1">
      <c r="A656" s="104" t="s">
        <v>779</v>
      </c>
      <c r="B656" s="103"/>
      <c r="C656" s="68" t="s">
        <v>434</v>
      </c>
      <c r="D656" s="378" t="s">
        <v>780</v>
      </c>
      <c r="E656" s="57">
        <v>0</v>
      </c>
      <c r="F656" s="57">
        <v>0</v>
      </c>
      <c r="G656" s="58">
        <f t="shared" si="3340"/>
        <v>0</v>
      </c>
      <c r="H656" s="99">
        <v>0</v>
      </c>
      <c r="I656" s="59">
        <f t="shared" si="3007"/>
        <v>0</v>
      </c>
      <c r="J656" s="59">
        <f t="shared" si="2705"/>
        <v>0</v>
      </c>
      <c r="K656" s="74">
        <v>152</v>
      </c>
      <c r="L656" s="74">
        <v>0</v>
      </c>
      <c r="M656" s="74">
        <v>0</v>
      </c>
      <c r="N656" s="74">
        <v>0</v>
      </c>
      <c r="O656" s="63">
        <f t="shared" ref="O656:Q656" si="3408">AA656+AD656+AG656+AJ656+AM656+AP656+AS656+AV656+AY656+BB656+BE656+BH656</f>
        <v>152</v>
      </c>
      <c r="P656" s="61">
        <f t="shared" si="3408"/>
        <v>0</v>
      </c>
      <c r="Q656" s="61">
        <f t="shared" si="3408"/>
        <v>0</v>
      </c>
      <c r="R656" s="61">
        <f t="shared" ref="R656:T656" si="3409">IF(BK656=0,SUM(AA656+AD656+AG656+AJ656+AM656+AP656+AS656+AV656+AY656+BB656+BE656+BH656),BK656)</f>
        <v>152</v>
      </c>
      <c r="S656" s="61">
        <f t="shared" si="3409"/>
        <v>0</v>
      </c>
      <c r="T656" s="61">
        <f t="shared" si="3409"/>
        <v>0</v>
      </c>
      <c r="U656" s="63">
        <f t="shared" si="3343"/>
        <v>0</v>
      </c>
      <c r="V656" s="63">
        <f t="shared" si="3344"/>
        <v>0</v>
      </c>
      <c r="W656" s="63">
        <f t="shared" si="3345"/>
        <v>0</v>
      </c>
      <c r="X656" s="64">
        <f t="shared" ref="X656:Y656" si="3410">IF(O656&gt;0,O656/K656,0)</f>
        <v>1</v>
      </c>
      <c r="Y656" s="64">
        <f t="shared" si="3410"/>
        <v>0</v>
      </c>
      <c r="Z656" s="64">
        <f t="shared" si="3262"/>
        <v>0</v>
      </c>
      <c r="AA656" s="65"/>
      <c r="AB656" s="65"/>
      <c r="AC656" s="65"/>
      <c r="AD656" s="65"/>
      <c r="AE656" s="66"/>
      <c r="AF656" s="66"/>
      <c r="AG656" s="66"/>
      <c r="AH656" s="66"/>
      <c r="AI656" s="65"/>
      <c r="AJ656" s="65"/>
      <c r="AK656" s="65"/>
      <c r="AL656" s="65"/>
      <c r="AM656" s="65"/>
      <c r="AN656" s="65"/>
      <c r="AO656" s="65"/>
      <c r="AP656" s="100">
        <v>152</v>
      </c>
      <c r="AQ656" s="65"/>
      <c r="AR656" s="65"/>
      <c r="AS656" s="65"/>
      <c r="AT656" s="65"/>
      <c r="AU656" s="65"/>
      <c r="AV656" s="65"/>
      <c r="AW656" s="65"/>
      <c r="AX656" s="65"/>
      <c r="AY656" s="65"/>
      <c r="AZ656" s="65"/>
      <c r="BA656" s="65"/>
      <c r="BB656" s="65"/>
      <c r="BC656" s="65"/>
      <c r="BD656" s="65"/>
      <c r="BE656" s="65"/>
      <c r="BF656" s="65"/>
      <c r="BG656" s="65"/>
      <c r="BH656" s="65"/>
      <c r="BI656" s="65"/>
      <c r="BJ656" s="65"/>
      <c r="BK656" s="65">
        <v>0</v>
      </c>
      <c r="BL656" s="65">
        <v>0</v>
      </c>
      <c r="BM656" s="65">
        <v>0</v>
      </c>
      <c r="BN656" s="65">
        <f t="shared" si="3347"/>
        <v>152</v>
      </c>
      <c r="BO656" s="67">
        <f t="shared" si="3348"/>
        <v>0</v>
      </c>
      <c r="BP656" s="65">
        <f t="shared" si="3349"/>
        <v>152</v>
      </c>
      <c r="BQ656" s="65">
        <f t="shared" si="3350"/>
        <v>0</v>
      </c>
      <c r="BR656" s="65">
        <f t="shared" si="3351"/>
        <v>0</v>
      </c>
      <c r="BS656" s="65">
        <f t="shared" si="3352"/>
        <v>0</v>
      </c>
      <c r="BT656" s="65">
        <f t="shared" si="3353"/>
        <v>0</v>
      </c>
      <c r="BU656" s="65">
        <f t="shared" si="3354"/>
        <v>152</v>
      </c>
      <c r="BV656" s="65">
        <f t="shared" si="3355"/>
        <v>0</v>
      </c>
      <c r="BW656" s="65">
        <f t="shared" si="3356"/>
        <v>152</v>
      </c>
      <c r="BX656" s="6"/>
      <c r="BY656" s="6"/>
      <c r="BZ656" s="6"/>
      <c r="CA656" s="6"/>
      <c r="CB656" s="6"/>
      <c r="CC656" s="6"/>
      <c r="CD656" s="6"/>
      <c r="CE656" s="6"/>
      <c r="CF656" s="6"/>
      <c r="CG656" s="6"/>
    </row>
    <row r="657" spans="1:85" ht="15.75" customHeight="1">
      <c r="A657" s="104" t="s">
        <v>781</v>
      </c>
      <c r="B657" s="103"/>
      <c r="C657" s="68" t="s">
        <v>434</v>
      </c>
      <c r="D657" s="378" t="s">
        <v>782</v>
      </c>
      <c r="E657" s="57">
        <v>0</v>
      </c>
      <c r="F657" s="57">
        <v>0</v>
      </c>
      <c r="G657" s="58">
        <f t="shared" si="3340"/>
        <v>0</v>
      </c>
      <c r="H657" s="99">
        <v>0</v>
      </c>
      <c r="I657" s="59">
        <f t="shared" si="3007"/>
        <v>0</v>
      </c>
      <c r="J657" s="59">
        <f t="shared" si="2705"/>
        <v>0</v>
      </c>
      <c r="K657" s="74">
        <v>1497.9</v>
      </c>
      <c r="L657" s="74">
        <v>0</v>
      </c>
      <c r="M657" s="74">
        <v>0</v>
      </c>
      <c r="N657" s="74">
        <v>0</v>
      </c>
      <c r="O657" s="63">
        <f t="shared" ref="O657:Q657" si="3411">AA657+AD657+AG657+AJ657+AM657+AP657+AS657+AV657+AY657+BB657+BE657+BH657</f>
        <v>0</v>
      </c>
      <c r="P657" s="61">
        <f t="shared" si="3411"/>
        <v>0</v>
      </c>
      <c r="Q657" s="61">
        <f t="shared" si="3411"/>
        <v>0</v>
      </c>
      <c r="R657" s="61">
        <f t="shared" ref="R657:T657" si="3412">IF(BK657=0,SUM(AA657+AD657+AG657+AJ657+AM657+AP657+AS657+AV657+AY657+BB657+BE657+BH657),BK657)</f>
        <v>0</v>
      </c>
      <c r="S657" s="61">
        <f t="shared" si="3412"/>
        <v>0</v>
      </c>
      <c r="T657" s="61">
        <f t="shared" si="3412"/>
        <v>0</v>
      </c>
      <c r="U657" s="62">
        <f t="shared" si="3343"/>
        <v>1497.9</v>
      </c>
      <c r="V657" s="63">
        <f t="shared" si="3344"/>
        <v>0</v>
      </c>
      <c r="W657" s="63">
        <f t="shared" si="3345"/>
        <v>0</v>
      </c>
      <c r="X657" s="64">
        <f t="shared" ref="X657:Y657" si="3413">IF(O657&gt;0,O657/K657,0)</f>
        <v>0</v>
      </c>
      <c r="Y657" s="64">
        <f t="shared" si="3413"/>
        <v>0</v>
      </c>
      <c r="Z657" s="64">
        <f t="shared" si="3262"/>
        <v>0</v>
      </c>
      <c r="AA657" s="65"/>
      <c r="AB657" s="65"/>
      <c r="AC657" s="65"/>
      <c r="AD657" s="65"/>
      <c r="AE657" s="66"/>
      <c r="AF657" s="66"/>
      <c r="AG657" s="66"/>
      <c r="AH657" s="66"/>
      <c r="AI657" s="65"/>
      <c r="AJ657" s="65"/>
      <c r="AK657" s="65"/>
      <c r="AL657" s="65"/>
      <c r="AM657" s="65"/>
      <c r="AN657" s="65"/>
      <c r="AO657" s="65"/>
      <c r="AP657" s="65"/>
      <c r="AQ657" s="65"/>
      <c r="AR657" s="65"/>
      <c r="AS657" s="65"/>
      <c r="AT657" s="65"/>
      <c r="AU657" s="65"/>
      <c r="AV657" s="65"/>
      <c r="AW657" s="65"/>
      <c r="AX657" s="65"/>
      <c r="AY657" s="65"/>
      <c r="AZ657" s="65"/>
      <c r="BA657" s="65"/>
      <c r="BB657" s="65"/>
      <c r="BC657" s="65"/>
      <c r="BD657" s="65"/>
      <c r="BE657" s="65"/>
      <c r="BF657" s="65"/>
      <c r="BG657" s="65"/>
      <c r="BH657" s="65"/>
      <c r="BI657" s="65"/>
      <c r="BJ657" s="65"/>
      <c r="BK657" s="65">
        <v>0</v>
      </c>
      <c r="BL657" s="65">
        <v>0</v>
      </c>
      <c r="BM657" s="65">
        <v>0</v>
      </c>
      <c r="BN657" s="65">
        <f t="shared" si="3347"/>
        <v>0</v>
      </c>
      <c r="BO657" s="67">
        <f t="shared" si="3348"/>
        <v>0</v>
      </c>
      <c r="BP657" s="65">
        <f t="shared" si="3349"/>
        <v>0</v>
      </c>
      <c r="BQ657" s="65">
        <f t="shared" si="3350"/>
        <v>1497.9</v>
      </c>
      <c r="BR657" s="65">
        <f t="shared" si="3351"/>
        <v>0</v>
      </c>
      <c r="BS657" s="65">
        <f t="shared" si="3352"/>
        <v>1497.9</v>
      </c>
      <c r="BT657" s="65">
        <f t="shared" si="3353"/>
        <v>0</v>
      </c>
      <c r="BU657" s="65">
        <f t="shared" si="3354"/>
        <v>0</v>
      </c>
      <c r="BV657" s="65">
        <f t="shared" si="3355"/>
        <v>1497.9</v>
      </c>
      <c r="BW657" s="65">
        <f t="shared" si="3356"/>
        <v>1497.9</v>
      </c>
      <c r="BX657" s="6"/>
      <c r="BY657" s="6"/>
      <c r="BZ657" s="6"/>
      <c r="CA657" s="6"/>
      <c r="CB657" s="6"/>
      <c r="CC657" s="6"/>
      <c r="CD657" s="6"/>
      <c r="CE657" s="6"/>
      <c r="CF657" s="6"/>
      <c r="CG657" s="6"/>
    </row>
    <row r="658" spans="1:85" ht="15.75" customHeight="1">
      <c r="A658" s="68"/>
      <c r="B658" s="103"/>
      <c r="C658" s="68" t="s">
        <v>783</v>
      </c>
      <c r="D658" s="124" t="s">
        <v>784</v>
      </c>
      <c r="E658" s="56">
        <v>8000</v>
      </c>
      <c r="F658" s="99">
        <v>0</v>
      </c>
      <c r="G658" s="58">
        <f t="shared" si="3340"/>
        <v>8000</v>
      </c>
      <c r="H658" s="99">
        <v>0</v>
      </c>
      <c r="I658" s="59">
        <f t="shared" si="3007"/>
        <v>0</v>
      </c>
      <c r="J658" s="59">
        <f t="shared" si="2705"/>
        <v>0</v>
      </c>
      <c r="K658" s="74">
        <v>0</v>
      </c>
      <c r="L658" s="74">
        <v>0</v>
      </c>
      <c r="M658" s="74">
        <v>0</v>
      </c>
      <c r="N658" s="74">
        <v>0</v>
      </c>
      <c r="O658" s="61">
        <f t="shared" ref="O658:Q658" si="3414">AA658+AD658+AG658+AJ658+AM658+AP658+AS658+AV658+AY658+BB658+BE658+BH658</f>
        <v>0</v>
      </c>
      <c r="P658" s="61">
        <f t="shared" si="3414"/>
        <v>0</v>
      </c>
      <c r="Q658" s="61">
        <f t="shared" si="3414"/>
        <v>0</v>
      </c>
      <c r="R658" s="61">
        <f t="shared" ref="R658:T658" si="3415">IF(BK658=0,SUM(AA658+AD658+AG658+AJ658+AM658+AP658+AS658+AV658+AY658+BB658+BE658+BH658),BK658)</f>
        <v>0</v>
      </c>
      <c r="S658" s="61">
        <f t="shared" si="3415"/>
        <v>0</v>
      </c>
      <c r="T658" s="61">
        <f t="shared" si="3415"/>
        <v>0</v>
      </c>
      <c r="U658" s="63">
        <f t="shared" si="3343"/>
        <v>0</v>
      </c>
      <c r="V658" s="63">
        <f t="shared" si="3344"/>
        <v>0</v>
      </c>
      <c r="W658" s="63">
        <f t="shared" si="3345"/>
        <v>0</v>
      </c>
      <c r="X658" s="64">
        <f t="shared" ref="X658:Y658" si="3416">IF(O658&gt;0,O658/K658,0)</f>
        <v>0</v>
      </c>
      <c r="Y658" s="64">
        <f t="shared" si="3416"/>
        <v>0</v>
      </c>
      <c r="Z658" s="64">
        <f t="shared" si="3262"/>
        <v>0</v>
      </c>
      <c r="AA658" s="65"/>
      <c r="AB658" s="65"/>
      <c r="AC658" s="65"/>
      <c r="AD658" s="65"/>
      <c r="AE658" s="66"/>
      <c r="AF658" s="66"/>
      <c r="AG658" s="66"/>
      <c r="AH658" s="66"/>
      <c r="AI658" s="65"/>
      <c r="AJ658" s="65"/>
      <c r="AK658" s="65"/>
      <c r="AL658" s="65"/>
      <c r="AM658" s="65"/>
      <c r="AN658" s="65"/>
      <c r="AO658" s="65"/>
      <c r="AP658" s="65"/>
      <c r="AQ658" s="65"/>
      <c r="AR658" s="65"/>
      <c r="AS658" s="65"/>
      <c r="AT658" s="65"/>
      <c r="AU658" s="65"/>
      <c r="AV658" s="65"/>
      <c r="AW658" s="65"/>
      <c r="AX658" s="65"/>
      <c r="AY658" s="65"/>
      <c r="AZ658" s="65"/>
      <c r="BA658" s="65"/>
      <c r="BB658" s="65"/>
      <c r="BC658" s="65"/>
      <c r="BD658" s="65"/>
      <c r="BE658" s="65"/>
      <c r="BF658" s="65"/>
      <c r="BG658" s="65"/>
      <c r="BH658" s="65"/>
      <c r="BI658" s="65"/>
      <c r="BJ658" s="65"/>
      <c r="BK658" s="65">
        <v>0</v>
      </c>
      <c r="BL658" s="65">
        <v>0</v>
      </c>
      <c r="BM658" s="65">
        <v>0</v>
      </c>
      <c r="BN658" s="65">
        <f t="shared" si="3347"/>
        <v>0</v>
      </c>
      <c r="BO658" s="67">
        <f t="shared" si="3348"/>
        <v>0</v>
      </c>
      <c r="BP658" s="65">
        <f t="shared" si="3349"/>
        <v>0</v>
      </c>
      <c r="BQ658" s="65">
        <f t="shared" si="3350"/>
        <v>0</v>
      </c>
      <c r="BR658" s="65">
        <f t="shared" si="3351"/>
        <v>0</v>
      </c>
      <c r="BS658" s="65">
        <f t="shared" si="3352"/>
        <v>0</v>
      </c>
      <c r="BT658" s="65">
        <f t="shared" si="3353"/>
        <v>0</v>
      </c>
      <c r="BU658" s="65">
        <f t="shared" si="3354"/>
        <v>0</v>
      </c>
      <c r="BV658" s="65">
        <f t="shared" si="3355"/>
        <v>0</v>
      </c>
      <c r="BW658" s="65">
        <f t="shared" si="3356"/>
        <v>0</v>
      </c>
      <c r="BX658" s="6"/>
      <c r="BY658" s="6"/>
      <c r="BZ658" s="6"/>
      <c r="CA658" s="6"/>
      <c r="CB658" s="6"/>
      <c r="CC658" s="6"/>
      <c r="CD658" s="6"/>
      <c r="CE658" s="6"/>
      <c r="CF658" s="6"/>
      <c r="CG658" s="6"/>
    </row>
    <row r="659" spans="1:85" ht="15.75" customHeight="1">
      <c r="A659" s="104" t="s">
        <v>785</v>
      </c>
      <c r="B659" s="103"/>
      <c r="C659" s="68" t="s">
        <v>739</v>
      </c>
      <c r="D659" s="124" t="s">
        <v>786</v>
      </c>
      <c r="E659" s="56">
        <v>20000</v>
      </c>
      <c r="F659" s="99">
        <v>0</v>
      </c>
      <c r="G659" s="58">
        <f t="shared" si="3340"/>
        <v>20000</v>
      </c>
      <c r="H659" s="99">
        <v>0</v>
      </c>
      <c r="I659" s="59">
        <f t="shared" si="3007"/>
        <v>0.23861550000000001</v>
      </c>
      <c r="J659" s="59">
        <f t="shared" si="2705"/>
        <v>0</v>
      </c>
      <c r="K659" s="74">
        <v>4772.3100000000004</v>
      </c>
      <c r="L659" s="74">
        <v>0</v>
      </c>
      <c r="M659" s="74">
        <v>0</v>
      </c>
      <c r="N659" s="74">
        <v>0</v>
      </c>
      <c r="O659" s="61">
        <f t="shared" ref="O659:Q659" si="3417">AA659+AD659+AG659+AJ659+AM659+AP659+AS659+AV659+AY659+BB659+BE659+BH659</f>
        <v>0</v>
      </c>
      <c r="P659" s="61">
        <f t="shared" si="3417"/>
        <v>0</v>
      </c>
      <c r="Q659" s="61">
        <f t="shared" si="3417"/>
        <v>0</v>
      </c>
      <c r="R659" s="61">
        <f t="shared" ref="R659:T659" si="3418">IF(BK659=0,SUM(AA659+AD659+AG659+AJ659+AM659+AP659+AS659+AV659+AY659+BB659+BE659+BH659),BK659)</f>
        <v>0</v>
      </c>
      <c r="S659" s="61">
        <f t="shared" si="3418"/>
        <v>0</v>
      </c>
      <c r="T659" s="61">
        <f t="shared" si="3418"/>
        <v>0</v>
      </c>
      <c r="U659" s="62">
        <f t="shared" si="3343"/>
        <v>4772.3100000000004</v>
      </c>
      <c r="V659" s="63">
        <f t="shared" si="3344"/>
        <v>0</v>
      </c>
      <c r="W659" s="63">
        <f t="shared" si="3345"/>
        <v>0</v>
      </c>
      <c r="X659" s="64">
        <f t="shared" ref="X659:Y659" si="3419">IF(O659&gt;0,O659/K659,0)</f>
        <v>0</v>
      </c>
      <c r="Y659" s="64">
        <f t="shared" si="3419"/>
        <v>0</v>
      </c>
      <c r="Z659" s="64">
        <f t="shared" si="3262"/>
        <v>0</v>
      </c>
      <c r="AA659" s="65"/>
      <c r="AB659" s="65"/>
      <c r="AC659" s="65"/>
      <c r="AD659" s="65"/>
      <c r="AE659" s="66"/>
      <c r="AF659" s="66"/>
      <c r="AG659" s="66"/>
      <c r="AH659" s="66"/>
      <c r="AI659" s="65"/>
      <c r="AJ659" s="65"/>
      <c r="AK659" s="65"/>
      <c r="AL659" s="65"/>
      <c r="AM659" s="65"/>
      <c r="AN659" s="65"/>
      <c r="AO659" s="65"/>
      <c r="AP659" s="65"/>
      <c r="AQ659" s="65"/>
      <c r="AR659" s="65"/>
      <c r="AS659" s="65"/>
      <c r="AT659" s="65"/>
      <c r="AU659" s="65"/>
      <c r="AV659" s="65"/>
      <c r="AW659" s="65"/>
      <c r="AX659" s="65"/>
      <c r="AY659" s="65"/>
      <c r="AZ659" s="65"/>
      <c r="BA659" s="65"/>
      <c r="BB659" s="65"/>
      <c r="BC659" s="65"/>
      <c r="BD659" s="65"/>
      <c r="BE659" s="65"/>
      <c r="BF659" s="65"/>
      <c r="BG659" s="65"/>
      <c r="BH659" s="65"/>
      <c r="BI659" s="65"/>
      <c r="BJ659" s="65"/>
      <c r="BK659" s="65">
        <v>0</v>
      </c>
      <c r="BL659" s="65">
        <v>0</v>
      </c>
      <c r="BM659" s="65">
        <v>0</v>
      </c>
      <c r="BN659" s="65">
        <f t="shared" si="3347"/>
        <v>0</v>
      </c>
      <c r="BO659" s="67">
        <f t="shared" si="3348"/>
        <v>0</v>
      </c>
      <c r="BP659" s="65">
        <f t="shared" si="3349"/>
        <v>0</v>
      </c>
      <c r="BQ659" s="65">
        <f t="shared" si="3350"/>
        <v>4772.3100000000004</v>
      </c>
      <c r="BR659" s="65">
        <f t="shared" si="3351"/>
        <v>0</v>
      </c>
      <c r="BS659" s="65">
        <f t="shared" si="3352"/>
        <v>4772.3100000000004</v>
      </c>
      <c r="BT659" s="65">
        <f t="shared" si="3353"/>
        <v>0</v>
      </c>
      <c r="BU659" s="65">
        <f t="shared" si="3354"/>
        <v>0</v>
      </c>
      <c r="BV659" s="65">
        <f t="shared" si="3355"/>
        <v>4772.3100000000004</v>
      </c>
      <c r="BW659" s="65">
        <f t="shared" si="3356"/>
        <v>4772.3100000000004</v>
      </c>
      <c r="BX659" s="6"/>
      <c r="BY659" s="6"/>
      <c r="BZ659" s="6"/>
      <c r="CA659" s="6"/>
      <c r="CB659" s="6"/>
      <c r="CC659" s="6"/>
      <c r="CD659" s="6"/>
      <c r="CE659" s="6"/>
      <c r="CF659" s="6"/>
      <c r="CG659" s="6"/>
    </row>
    <row r="660" spans="1:85" ht="15.75" customHeight="1">
      <c r="A660" s="104" t="s">
        <v>787</v>
      </c>
      <c r="B660" s="68"/>
      <c r="C660" s="68" t="s">
        <v>739</v>
      </c>
      <c r="D660" s="124" t="s">
        <v>788</v>
      </c>
      <c r="E660" s="57">
        <v>0</v>
      </c>
      <c r="F660" s="57">
        <v>0</v>
      </c>
      <c r="G660" s="58">
        <f t="shared" si="3340"/>
        <v>0</v>
      </c>
      <c r="H660" s="99">
        <v>0</v>
      </c>
      <c r="I660" s="59">
        <f t="shared" si="3007"/>
        <v>0</v>
      </c>
      <c r="J660" s="59">
        <f t="shared" si="2705"/>
        <v>0</v>
      </c>
      <c r="K660" s="74">
        <f>1323.9</f>
        <v>1323.9</v>
      </c>
      <c r="L660" s="74">
        <v>0</v>
      </c>
      <c r="M660" s="74">
        <v>0</v>
      </c>
      <c r="N660" s="74">
        <v>0</v>
      </c>
      <c r="O660" s="61">
        <f t="shared" ref="O660:Q660" si="3420">AA660+AD660+AG660+AJ660+AM660+AP660+AS660+AV660+AY660+BB660+BE660+BH660</f>
        <v>1323.9</v>
      </c>
      <c r="P660" s="61">
        <f t="shared" si="3420"/>
        <v>0</v>
      </c>
      <c r="Q660" s="61">
        <f t="shared" si="3420"/>
        <v>0</v>
      </c>
      <c r="R660" s="61">
        <f t="shared" ref="R660:T660" si="3421">IF(BK660=0,SUM(AA660+AD660+AG660+AJ660+AM660+AP660+AS660+AV660+AY660+BB660+BE660+BH660),BK660)</f>
        <v>1323.9</v>
      </c>
      <c r="S660" s="61">
        <f t="shared" si="3421"/>
        <v>0</v>
      </c>
      <c r="T660" s="61">
        <f t="shared" si="3421"/>
        <v>0</v>
      </c>
      <c r="U660" s="63">
        <f t="shared" si="3343"/>
        <v>0</v>
      </c>
      <c r="V660" s="63">
        <f t="shared" si="3344"/>
        <v>0</v>
      </c>
      <c r="W660" s="63">
        <f t="shared" si="3345"/>
        <v>0</v>
      </c>
      <c r="X660" s="64">
        <f t="shared" ref="X660:Y660" si="3422">IF(O660&gt;0,O660/K660,0)</f>
        <v>1</v>
      </c>
      <c r="Y660" s="64">
        <f t="shared" si="3422"/>
        <v>0</v>
      </c>
      <c r="Z660" s="64">
        <f t="shared" si="3262"/>
        <v>0</v>
      </c>
      <c r="AA660" s="65"/>
      <c r="AB660" s="65"/>
      <c r="AC660" s="65"/>
      <c r="AD660" s="65"/>
      <c r="AE660" s="66"/>
      <c r="AF660" s="66"/>
      <c r="AG660" s="66"/>
      <c r="AH660" s="113"/>
      <c r="AI660" s="65"/>
      <c r="AJ660" s="65"/>
      <c r="AK660" s="65"/>
      <c r="AL660" s="65"/>
      <c r="AM660" s="65"/>
      <c r="AN660" s="65"/>
      <c r="AO660" s="65"/>
      <c r="AP660" s="100">
        <v>1323.9</v>
      </c>
      <c r="AQ660" s="65"/>
      <c r="AR660" s="65"/>
      <c r="AS660" s="65"/>
      <c r="AT660" s="65"/>
      <c r="AU660" s="65"/>
      <c r="AV660" s="65"/>
      <c r="AW660" s="65"/>
      <c r="AX660" s="65"/>
      <c r="AY660" s="65"/>
      <c r="AZ660" s="65"/>
      <c r="BA660" s="65"/>
      <c r="BB660" s="65"/>
      <c r="BC660" s="65"/>
      <c r="BD660" s="65"/>
      <c r="BE660" s="65"/>
      <c r="BF660" s="65"/>
      <c r="BG660" s="65"/>
      <c r="BH660" s="65"/>
      <c r="BI660" s="65"/>
      <c r="BJ660" s="65"/>
      <c r="BK660" s="65">
        <v>0</v>
      </c>
      <c r="BL660" s="65">
        <v>0</v>
      </c>
      <c r="BM660" s="65">
        <v>0</v>
      </c>
      <c r="BN660" s="65">
        <f t="shared" si="3347"/>
        <v>1323.9</v>
      </c>
      <c r="BO660" s="67">
        <f t="shared" si="3348"/>
        <v>0</v>
      </c>
      <c r="BP660" s="65">
        <f t="shared" si="3349"/>
        <v>1323.9</v>
      </c>
      <c r="BQ660" s="65">
        <f t="shared" si="3350"/>
        <v>0</v>
      </c>
      <c r="BR660" s="65">
        <f t="shared" si="3351"/>
        <v>0</v>
      </c>
      <c r="BS660" s="65">
        <f t="shared" si="3352"/>
        <v>0</v>
      </c>
      <c r="BT660" s="65">
        <f t="shared" si="3353"/>
        <v>0</v>
      </c>
      <c r="BU660" s="65">
        <f t="shared" si="3354"/>
        <v>1323.9</v>
      </c>
      <c r="BV660" s="65">
        <f t="shared" si="3355"/>
        <v>0</v>
      </c>
      <c r="BW660" s="65">
        <f t="shared" si="3356"/>
        <v>1323.9</v>
      </c>
      <c r="BX660" s="6"/>
      <c r="BY660" s="6"/>
      <c r="BZ660" s="6"/>
      <c r="CA660" s="6"/>
      <c r="CB660" s="6"/>
      <c r="CC660" s="6"/>
      <c r="CD660" s="6"/>
      <c r="CE660" s="6"/>
      <c r="CF660" s="6"/>
      <c r="CG660" s="6"/>
    </row>
    <row r="661" spans="1:85" ht="15.75" customHeight="1">
      <c r="A661" s="104" t="s">
        <v>789</v>
      </c>
      <c r="B661" s="68"/>
      <c r="C661" s="68" t="s">
        <v>739</v>
      </c>
      <c r="D661" s="124" t="s">
        <v>790</v>
      </c>
      <c r="E661" s="57">
        <v>0</v>
      </c>
      <c r="F661" s="57">
        <v>0</v>
      </c>
      <c r="G661" s="58">
        <f t="shared" si="3340"/>
        <v>0</v>
      </c>
      <c r="H661" s="99">
        <v>0</v>
      </c>
      <c r="I661" s="59">
        <f t="shared" si="3007"/>
        <v>0</v>
      </c>
      <c r="J661" s="59">
        <f t="shared" si="2705"/>
        <v>0</v>
      </c>
      <c r="K661" s="74">
        <v>348</v>
      </c>
      <c r="L661" s="74">
        <v>0</v>
      </c>
      <c r="M661" s="74">
        <v>0</v>
      </c>
      <c r="N661" s="74">
        <v>0</v>
      </c>
      <c r="O661" s="61">
        <f t="shared" ref="O661:Q661" si="3423">AA661+AD661+AG661+AJ661+AM661+AP661+AS661+AV661+AY661+BB661+BE661+BH661</f>
        <v>348</v>
      </c>
      <c r="P661" s="61">
        <f t="shared" si="3423"/>
        <v>0</v>
      </c>
      <c r="Q661" s="61">
        <f t="shared" si="3423"/>
        <v>0</v>
      </c>
      <c r="R661" s="61">
        <f t="shared" ref="R661:T661" si="3424">IF(BK661=0,SUM(AA661+AD661+AG661+AJ661+AM661+AP661+AS661+AV661+AY661+BB661+BE661+BH661),BK661)</f>
        <v>348</v>
      </c>
      <c r="S661" s="61">
        <f t="shared" si="3424"/>
        <v>0</v>
      </c>
      <c r="T661" s="61">
        <f t="shared" si="3424"/>
        <v>0</v>
      </c>
      <c r="U661" s="63">
        <f t="shared" si="3343"/>
        <v>0</v>
      </c>
      <c r="V661" s="63">
        <f t="shared" si="3344"/>
        <v>0</v>
      </c>
      <c r="W661" s="63">
        <f t="shared" si="3345"/>
        <v>0</v>
      </c>
      <c r="X661" s="64">
        <f t="shared" ref="X661:Y661" si="3425">IF(O661&gt;0,O661/K661,0)</f>
        <v>1</v>
      </c>
      <c r="Y661" s="64">
        <f t="shared" si="3425"/>
        <v>0</v>
      </c>
      <c r="Z661" s="64">
        <f t="shared" si="3262"/>
        <v>0</v>
      </c>
      <c r="AA661" s="65"/>
      <c r="AB661" s="65"/>
      <c r="AC661" s="65"/>
      <c r="AD661" s="65"/>
      <c r="AE661" s="66"/>
      <c r="AF661" s="66"/>
      <c r="AG661" s="66"/>
      <c r="AH661" s="113"/>
      <c r="AI661" s="65"/>
      <c r="AJ661" s="65"/>
      <c r="AK661" s="65"/>
      <c r="AL661" s="65"/>
      <c r="AM661" s="65"/>
      <c r="AN661" s="65"/>
      <c r="AO661" s="65"/>
      <c r="AP661" s="100">
        <v>348</v>
      </c>
      <c r="AQ661" s="65"/>
      <c r="AR661" s="65"/>
      <c r="AS661" s="65"/>
      <c r="AT661" s="65"/>
      <c r="AU661" s="65"/>
      <c r="AV661" s="65"/>
      <c r="AW661" s="65"/>
      <c r="AX661" s="65"/>
      <c r="AY661" s="65"/>
      <c r="AZ661" s="65"/>
      <c r="BA661" s="65"/>
      <c r="BB661" s="65"/>
      <c r="BC661" s="65"/>
      <c r="BD661" s="65"/>
      <c r="BE661" s="65"/>
      <c r="BF661" s="65"/>
      <c r="BG661" s="65"/>
      <c r="BH661" s="65"/>
      <c r="BI661" s="65"/>
      <c r="BJ661" s="65"/>
      <c r="BK661" s="65">
        <v>0</v>
      </c>
      <c r="BL661" s="65">
        <v>0</v>
      </c>
      <c r="BM661" s="65">
        <v>0</v>
      </c>
      <c r="BN661" s="65">
        <f t="shared" si="3347"/>
        <v>348</v>
      </c>
      <c r="BO661" s="67">
        <f t="shared" si="3348"/>
        <v>0</v>
      </c>
      <c r="BP661" s="65">
        <f t="shared" si="3349"/>
        <v>348</v>
      </c>
      <c r="BQ661" s="65">
        <f t="shared" si="3350"/>
        <v>0</v>
      </c>
      <c r="BR661" s="65">
        <f t="shared" si="3351"/>
        <v>0</v>
      </c>
      <c r="BS661" s="65">
        <f t="shared" si="3352"/>
        <v>0</v>
      </c>
      <c r="BT661" s="65">
        <f t="shared" si="3353"/>
        <v>0</v>
      </c>
      <c r="BU661" s="65">
        <f t="shared" si="3354"/>
        <v>348</v>
      </c>
      <c r="BV661" s="65">
        <f t="shared" si="3355"/>
        <v>0</v>
      </c>
      <c r="BW661" s="65">
        <f t="shared" si="3356"/>
        <v>348</v>
      </c>
      <c r="BX661" s="6"/>
      <c r="BY661" s="6"/>
      <c r="BZ661" s="6"/>
      <c r="CA661" s="6"/>
      <c r="CB661" s="6"/>
      <c r="CC661" s="6"/>
      <c r="CD661" s="6"/>
      <c r="CE661" s="6"/>
      <c r="CF661" s="6"/>
      <c r="CG661" s="6"/>
    </row>
    <row r="662" spans="1:85" ht="15.75" customHeight="1">
      <c r="A662" s="104" t="s">
        <v>791</v>
      </c>
      <c r="B662" s="68"/>
      <c r="C662" s="68" t="s">
        <v>739</v>
      </c>
      <c r="D662" s="124" t="s">
        <v>792</v>
      </c>
      <c r="E662" s="57">
        <v>0</v>
      </c>
      <c r="F662" s="57">
        <v>0</v>
      </c>
      <c r="G662" s="58">
        <f t="shared" si="3340"/>
        <v>0</v>
      </c>
      <c r="H662" s="99">
        <v>0</v>
      </c>
      <c r="I662" s="59">
        <f t="shared" si="3007"/>
        <v>0</v>
      </c>
      <c r="J662" s="59">
        <f t="shared" si="2705"/>
        <v>0</v>
      </c>
      <c r="K662" s="74">
        <v>534.99</v>
      </c>
      <c r="L662" s="74">
        <v>0</v>
      </c>
      <c r="M662" s="74">
        <v>0</v>
      </c>
      <c r="N662" s="74">
        <v>0</v>
      </c>
      <c r="O662" s="61">
        <f t="shared" ref="O662:Q662" si="3426">AA662+AD662+AG662+AJ662+AM662+AP662+AS662+AV662+AY662+BB662+BE662+BH662</f>
        <v>0</v>
      </c>
      <c r="P662" s="61">
        <f t="shared" si="3426"/>
        <v>0</v>
      </c>
      <c r="Q662" s="61">
        <f t="shared" si="3426"/>
        <v>0</v>
      </c>
      <c r="R662" s="61">
        <f t="shared" ref="R662:T662" si="3427">IF(BK662=0,SUM(AA662+AD662+AG662+AJ662+AM662+AP662+AS662+AV662+AY662+BB662+BE662+BH662),BK662)</f>
        <v>0</v>
      </c>
      <c r="S662" s="61">
        <f t="shared" si="3427"/>
        <v>0</v>
      </c>
      <c r="T662" s="61">
        <f t="shared" si="3427"/>
        <v>0</v>
      </c>
      <c r="U662" s="62">
        <f t="shared" si="3343"/>
        <v>534.99</v>
      </c>
      <c r="V662" s="63">
        <f t="shared" si="3344"/>
        <v>0</v>
      </c>
      <c r="W662" s="63">
        <f t="shared" si="3345"/>
        <v>0</v>
      </c>
      <c r="X662" s="64">
        <f t="shared" ref="X662:Y662" si="3428">IF(O662&gt;0,O662/K662,0)</f>
        <v>0</v>
      </c>
      <c r="Y662" s="64">
        <f t="shared" si="3428"/>
        <v>0</v>
      </c>
      <c r="Z662" s="64">
        <f t="shared" si="3262"/>
        <v>0</v>
      </c>
      <c r="AA662" s="65"/>
      <c r="AB662" s="65"/>
      <c r="AC662" s="65"/>
      <c r="AD662" s="65"/>
      <c r="AE662" s="66"/>
      <c r="AF662" s="66"/>
      <c r="AG662" s="66"/>
      <c r="AH662" s="113"/>
      <c r="AI662" s="65"/>
      <c r="AJ662" s="65"/>
      <c r="AK662" s="65"/>
      <c r="AL662" s="65"/>
      <c r="AM662" s="65"/>
      <c r="AN662" s="65"/>
      <c r="AO662" s="65"/>
      <c r="AP662" s="65"/>
      <c r="AQ662" s="65"/>
      <c r="AR662" s="65"/>
      <c r="AS662" s="65"/>
      <c r="AT662" s="65"/>
      <c r="AU662" s="65"/>
      <c r="AV662" s="65"/>
      <c r="AW662" s="65"/>
      <c r="AX662" s="65"/>
      <c r="AY662" s="65"/>
      <c r="AZ662" s="65"/>
      <c r="BA662" s="65"/>
      <c r="BB662" s="65"/>
      <c r="BC662" s="65"/>
      <c r="BD662" s="65"/>
      <c r="BE662" s="65"/>
      <c r="BF662" s="65"/>
      <c r="BG662" s="65"/>
      <c r="BH662" s="65"/>
      <c r="BI662" s="65"/>
      <c r="BJ662" s="65"/>
      <c r="BK662" s="65">
        <v>0</v>
      </c>
      <c r="BL662" s="65">
        <v>0</v>
      </c>
      <c r="BM662" s="65">
        <v>0</v>
      </c>
      <c r="BN662" s="65">
        <f t="shared" si="3347"/>
        <v>0</v>
      </c>
      <c r="BO662" s="67">
        <f t="shared" si="3348"/>
        <v>0</v>
      </c>
      <c r="BP662" s="65">
        <f t="shared" si="3349"/>
        <v>0</v>
      </c>
      <c r="BQ662" s="65">
        <f t="shared" si="3350"/>
        <v>534.99</v>
      </c>
      <c r="BR662" s="65">
        <f t="shared" si="3351"/>
        <v>0</v>
      </c>
      <c r="BS662" s="65">
        <f t="shared" si="3352"/>
        <v>534.99</v>
      </c>
      <c r="BT662" s="65">
        <f t="shared" si="3353"/>
        <v>0</v>
      </c>
      <c r="BU662" s="65">
        <f t="shared" si="3354"/>
        <v>0</v>
      </c>
      <c r="BV662" s="65">
        <f t="shared" si="3355"/>
        <v>534.99</v>
      </c>
      <c r="BW662" s="65">
        <f t="shared" si="3356"/>
        <v>534.99</v>
      </c>
      <c r="BX662" s="6"/>
      <c r="BY662" s="6"/>
      <c r="BZ662" s="6"/>
      <c r="CA662" s="6"/>
      <c r="CB662" s="6"/>
      <c r="CC662" s="6"/>
      <c r="CD662" s="6"/>
      <c r="CE662" s="6"/>
      <c r="CF662" s="6"/>
      <c r="CG662" s="6"/>
    </row>
    <row r="663" spans="1:85" ht="15.75" customHeight="1">
      <c r="A663" s="104" t="s">
        <v>793</v>
      </c>
      <c r="B663" s="68"/>
      <c r="C663" s="68" t="s">
        <v>739</v>
      </c>
      <c r="D663" s="124" t="s">
        <v>794</v>
      </c>
      <c r="E663" s="57">
        <v>0</v>
      </c>
      <c r="F663" s="57">
        <v>0</v>
      </c>
      <c r="G663" s="58">
        <f t="shared" si="3340"/>
        <v>0</v>
      </c>
      <c r="H663" s="99">
        <v>0</v>
      </c>
      <c r="I663" s="59">
        <f t="shared" si="3007"/>
        <v>0</v>
      </c>
      <c r="J663" s="59">
        <f t="shared" si="2705"/>
        <v>0</v>
      </c>
      <c r="K663" s="74">
        <v>1799</v>
      </c>
      <c r="L663" s="74">
        <v>0</v>
      </c>
      <c r="M663" s="74">
        <v>0</v>
      </c>
      <c r="N663" s="74">
        <v>0</v>
      </c>
      <c r="O663" s="61">
        <f t="shared" ref="O663:Q663" si="3429">AA663+AD663+AG663+AJ663+AM663+AP663+AS663+AV663+AY663+BB663+BE663+BH663</f>
        <v>0</v>
      </c>
      <c r="P663" s="61">
        <f t="shared" si="3429"/>
        <v>0</v>
      </c>
      <c r="Q663" s="61">
        <f t="shared" si="3429"/>
        <v>0</v>
      </c>
      <c r="R663" s="61">
        <f t="shared" ref="R663:T663" si="3430">IF(BK663=0,SUM(AA663+AD663+AG663+AJ663+AM663+AP663+AS663+AV663+AY663+BB663+BE663+BH663),BK663)</f>
        <v>0</v>
      </c>
      <c r="S663" s="61">
        <f t="shared" si="3430"/>
        <v>0</v>
      </c>
      <c r="T663" s="61">
        <f t="shared" si="3430"/>
        <v>0</v>
      </c>
      <c r="U663" s="62">
        <f t="shared" si="3343"/>
        <v>1799</v>
      </c>
      <c r="V663" s="63">
        <f t="shared" si="3344"/>
        <v>0</v>
      </c>
      <c r="W663" s="63">
        <f t="shared" si="3345"/>
        <v>0</v>
      </c>
      <c r="X663" s="64">
        <f t="shared" ref="X663:Y663" si="3431">IF(O663&gt;0,O663/K663,0)</f>
        <v>0</v>
      </c>
      <c r="Y663" s="64">
        <f t="shared" si="3431"/>
        <v>0</v>
      </c>
      <c r="Z663" s="64">
        <f t="shared" si="3262"/>
        <v>0</v>
      </c>
      <c r="AA663" s="65"/>
      <c r="AB663" s="65"/>
      <c r="AC663" s="65"/>
      <c r="AD663" s="65"/>
      <c r="AE663" s="66"/>
      <c r="AF663" s="66"/>
      <c r="AG663" s="66"/>
      <c r="AH663" s="113"/>
      <c r="AI663" s="65"/>
      <c r="AJ663" s="65"/>
      <c r="AK663" s="65"/>
      <c r="AL663" s="65"/>
      <c r="AM663" s="65"/>
      <c r="AN663" s="65"/>
      <c r="AO663" s="65"/>
      <c r="AP663" s="65"/>
      <c r="AQ663" s="65"/>
      <c r="AR663" s="65"/>
      <c r="AS663" s="65"/>
      <c r="AT663" s="65"/>
      <c r="AU663" s="65"/>
      <c r="AV663" s="65"/>
      <c r="AW663" s="65"/>
      <c r="AX663" s="65"/>
      <c r="AY663" s="65"/>
      <c r="AZ663" s="65"/>
      <c r="BA663" s="65"/>
      <c r="BB663" s="65"/>
      <c r="BC663" s="65"/>
      <c r="BD663" s="65"/>
      <c r="BE663" s="65"/>
      <c r="BF663" s="65"/>
      <c r="BG663" s="65"/>
      <c r="BH663" s="65"/>
      <c r="BI663" s="65"/>
      <c r="BJ663" s="65"/>
      <c r="BK663" s="65">
        <v>0</v>
      </c>
      <c r="BL663" s="65">
        <v>0</v>
      </c>
      <c r="BM663" s="65">
        <v>0</v>
      </c>
      <c r="BN663" s="65">
        <f t="shared" si="3347"/>
        <v>0</v>
      </c>
      <c r="BO663" s="67">
        <f t="shared" si="3348"/>
        <v>0</v>
      </c>
      <c r="BP663" s="65">
        <f t="shared" si="3349"/>
        <v>0</v>
      </c>
      <c r="BQ663" s="65">
        <f t="shared" si="3350"/>
        <v>1799</v>
      </c>
      <c r="BR663" s="65">
        <f t="shared" si="3351"/>
        <v>0</v>
      </c>
      <c r="BS663" s="65">
        <f t="shared" si="3352"/>
        <v>1799</v>
      </c>
      <c r="BT663" s="65">
        <f t="shared" si="3353"/>
        <v>0</v>
      </c>
      <c r="BU663" s="65">
        <f t="shared" si="3354"/>
        <v>0</v>
      </c>
      <c r="BV663" s="65">
        <f t="shared" si="3355"/>
        <v>1799</v>
      </c>
      <c r="BW663" s="65">
        <f t="shared" si="3356"/>
        <v>1799</v>
      </c>
      <c r="BX663" s="6"/>
      <c r="BY663" s="6"/>
      <c r="BZ663" s="6"/>
      <c r="CA663" s="6"/>
      <c r="CB663" s="6"/>
      <c r="CC663" s="6"/>
      <c r="CD663" s="6"/>
      <c r="CE663" s="6"/>
      <c r="CF663" s="6"/>
      <c r="CG663" s="6"/>
    </row>
    <row r="664" spans="1:85" ht="15.75" customHeight="1">
      <c r="A664" s="104" t="s">
        <v>795</v>
      </c>
      <c r="B664" s="68"/>
      <c r="C664" s="68" t="s">
        <v>739</v>
      </c>
      <c r="D664" s="124" t="s">
        <v>796</v>
      </c>
      <c r="E664" s="57">
        <v>0</v>
      </c>
      <c r="F664" s="57">
        <v>0</v>
      </c>
      <c r="G664" s="58">
        <f t="shared" si="3340"/>
        <v>0</v>
      </c>
      <c r="H664" s="99">
        <v>0</v>
      </c>
      <c r="I664" s="59">
        <f t="shared" si="3007"/>
        <v>0</v>
      </c>
      <c r="J664" s="59">
        <f t="shared" si="2705"/>
        <v>0</v>
      </c>
      <c r="K664" s="74">
        <v>1884</v>
      </c>
      <c r="L664" s="74">
        <v>0</v>
      </c>
      <c r="M664" s="74">
        <v>0</v>
      </c>
      <c r="N664" s="74">
        <v>0</v>
      </c>
      <c r="O664" s="61">
        <f t="shared" ref="O664:Q664" si="3432">AA664+AD664+AG664+AJ664+AM664+AP664+AS664+AV664+AY664+BB664+BE664+BH664</f>
        <v>1884</v>
      </c>
      <c r="P664" s="61">
        <f t="shared" si="3432"/>
        <v>0</v>
      </c>
      <c r="Q664" s="61">
        <f t="shared" si="3432"/>
        <v>0</v>
      </c>
      <c r="R664" s="61">
        <f t="shared" ref="R664:T664" si="3433">IF(BK664=0,SUM(AA664+AD664+AG664+AJ664+AM664+AP664+AS664+AV664+AY664+BB664+BE664+BH664),BK664)</f>
        <v>1884</v>
      </c>
      <c r="S664" s="61">
        <f t="shared" si="3433"/>
        <v>0</v>
      </c>
      <c r="T664" s="61">
        <f t="shared" si="3433"/>
        <v>0</v>
      </c>
      <c r="U664" s="63">
        <f t="shared" si="3343"/>
        <v>0</v>
      </c>
      <c r="V664" s="63">
        <f t="shared" si="3344"/>
        <v>0</v>
      </c>
      <c r="W664" s="63">
        <f t="shared" si="3345"/>
        <v>0</v>
      </c>
      <c r="X664" s="64">
        <f t="shared" ref="X664:Y664" si="3434">IF(O664&gt;0,O664/K664,0)</f>
        <v>1</v>
      </c>
      <c r="Y664" s="64">
        <f t="shared" si="3434"/>
        <v>0</v>
      </c>
      <c r="Z664" s="64">
        <f t="shared" si="3262"/>
        <v>0</v>
      </c>
      <c r="AA664" s="65"/>
      <c r="AB664" s="65"/>
      <c r="AC664" s="65"/>
      <c r="AD664" s="65"/>
      <c r="AE664" s="66"/>
      <c r="AF664" s="66"/>
      <c r="AG664" s="66"/>
      <c r="AH664" s="113"/>
      <c r="AI664" s="65"/>
      <c r="AJ664" s="65"/>
      <c r="AK664" s="65"/>
      <c r="AL664" s="65"/>
      <c r="AM664" s="65"/>
      <c r="AN664" s="65"/>
      <c r="AO664" s="65"/>
      <c r="AP664" s="100">
        <v>1884</v>
      </c>
      <c r="AQ664" s="65"/>
      <c r="AR664" s="65"/>
      <c r="AS664" s="65"/>
      <c r="AT664" s="65"/>
      <c r="AU664" s="65"/>
      <c r="AV664" s="65"/>
      <c r="AW664" s="65"/>
      <c r="AX664" s="65"/>
      <c r="AY664" s="65"/>
      <c r="AZ664" s="65"/>
      <c r="BA664" s="65"/>
      <c r="BB664" s="65"/>
      <c r="BC664" s="65"/>
      <c r="BD664" s="65"/>
      <c r="BE664" s="65"/>
      <c r="BF664" s="65"/>
      <c r="BG664" s="65"/>
      <c r="BH664" s="65"/>
      <c r="BI664" s="65"/>
      <c r="BJ664" s="65"/>
      <c r="BK664" s="65">
        <v>0</v>
      </c>
      <c r="BL664" s="65">
        <v>0</v>
      </c>
      <c r="BM664" s="65">
        <v>0</v>
      </c>
      <c r="BN664" s="65">
        <f t="shared" si="3347"/>
        <v>1884</v>
      </c>
      <c r="BO664" s="67">
        <f t="shared" si="3348"/>
        <v>0</v>
      </c>
      <c r="BP664" s="65">
        <f t="shared" si="3349"/>
        <v>1884</v>
      </c>
      <c r="BQ664" s="65">
        <f t="shared" si="3350"/>
        <v>0</v>
      </c>
      <c r="BR664" s="65">
        <f t="shared" si="3351"/>
        <v>0</v>
      </c>
      <c r="BS664" s="65">
        <f t="shared" si="3352"/>
        <v>0</v>
      </c>
      <c r="BT664" s="65">
        <f t="shared" si="3353"/>
        <v>0</v>
      </c>
      <c r="BU664" s="65">
        <f t="shared" si="3354"/>
        <v>1884</v>
      </c>
      <c r="BV664" s="65">
        <f t="shared" si="3355"/>
        <v>0</v>
      </c>
      <c r="BW664" s="65">
        <f t="shared" si="3356"/>
        <v>1884</v>
      </c>
      <c r="BX664" s="6"/>
      <c r="BY664" s="6"/>
      <c r="BZ664" s="6"/>
      <c r="CA664" s="6"/>
      <c r="CB664" s="6"/>
      <c r="CC664" s="6"/>
      <c r="CD664" s="6"/>
      <c r="CE664" s="6"/>
      <c r="CF664" s="6"/>
      <c r="CG664" s="6"/>
    </row>
    <row r="665" spans="1:85" ht="15.75" customHeight="1">
      <c r="A665" s="104" t="s">
        <v>797</v>
      </c>
      <c r="B665" s="68"/>
      <c r="C665" s="68" t="s">
        <v>739</v>
      </c>
      <c r="D665" s="124" t="s">
        <v>798</v>
      </c>
      <c r="E665" s="57">
        <v>0</v>
      </c>
      <c r="F665" s="57">
        <v>0</v>
      </c>
      <c r="G665" s="58">
        <f t="shared" si="3340"/>
        <v>0</v>
      </c>
      <c r="H665" s="99">
        <v>0</v>
      </c>
      <c r="I665" s="59">
        <f t="shared" si="3007"/>
        <v>0</v>
      </c>
      <c r="J665" s="59">
        <f t="shared" si="2705"/>
        <v>0</v>
      </c>
      <c r="K665" s="74">
        <v>697.03</v>
      </c>
      <c r="L665" s="74">
        <v>0</v>
      </c>
      <c r="M665" s="74">
        <v>0</v>
      </c>
      <c r="N665" s="74">
        <v>0</v>
      </c>
      <c r="O665" s="61">
        <f t="shared" ref="O665:Q665" si="3435">AA665+AD665+AG665+AJ665+AM665+AP665+AS665+AV665+AY665+BB665+BE665+BH665</f>
        <v>697.03</v>
      </c>
      <c r="P665" s="61">
        <f t="shared" si="3435"/>
        <v>0</v>
      </c>
      <c r="Q665" s="61">
        <f t="shared" si="3435"/>
        <v>0</v>
      </c>
      <c r="R665" s="61">
        <f t="shared" ref="R665:T665" si="3436">IF(BK665=0,SUM(AA665+AD665+AG665+AJ665+AM665+AP665+AS665+AV665+AY665+BB665+BE665+BH665),BK665)</f>
        <v>697.03</v>
      </c>
      <c r="S665" s="61">
        <f t="shared" si="3436"/>
        <v>0</v>
      </c>
      <c r="T665" s="61">
        <f t="shared" si="3436"/>
        <v>0</v>
      </c>
      <c r="U665" s="63">
        <f t="shared" si="3343"/>
        <v>0</v>
      </c>
      <c r="V665" s="63">
        <f t="shared" si="3344"/>
        <v>0</v>
      </c>
      <c r="W665" s="63">
        <f t="shared" si="3345"/>
        <v>0</v>
      </c>
      <c r="X665" s="64">
        <f t="shared" ref="X665:Y665" si="3437">IF(O665&gt;0,O665/K665,0)</f>
        <v>1</v>
      </c>
      <c r="Y665" s="64">
        <f t="shared" si="3437"/>
        <v>0</v>
      </c>
      <c r="Z665" s="64">
        <f t="shared" si="3262"/>
        <v>0</v>
      </c>
      <c r="AA665" s="65"/>
      <c r="AB665" s="65"/>
      <c r="AC665" s="65"/>
      <c r="AD665" s="65"/>
      <c r="AE665" s="66"/>
      <c r="AF665" s="66"/>
      <c r="AG665" s="66"/>
      <c r="AH665" s="113"/>
      <c r="AI665" s="65"/>
      <c r="AJ665" s="65"/>
      <c r="AK665" s="65"/>
      <c r="AL665" s="65"/>
      <c r="AM665" s="65"/>
      <c r="AN665" s="65"/>
      <c r="AO665" s="65"/>
      <c r="AP665" s="100">
        <v>697.03</v>
      </c>
      <c r="AQ665" s="65"/>
      <c r="AR665" s="65"/>
      <c r="AS665" s="65"/>
      <c r="AT665" s="65"/>
      <c r="AU665" s="65"/>
      <c r="AV665" s="65"/>
      <c r="AW665" s="65"/>
      <c r="AX665" s="65"/>
      <c r="AY665" s="65"/>
      <c r="AZ665" s="65"/>
      <c r="BA665" s="65"/>
      <c r="BB665" s="65"/>
      <c r="BC665" s="65"/>
      <c r="BD665" s="65"/>
      <c r="BE665" s="65"/>
      <c r="BF665" s="65"/>
      <c r="BG665" s="65"/>
      <c r="BH665" s="65"/>
      <c r="BI665" s="65"/>
      <c r="BJ665" s="65"/>
      <c r="BK665" s="65">
        <v>0</v>
      </c>
      <c r="BL665" s="65">
        <v>0</v>
      </c>
      <c r="BM665" s="65">
        <v>0</v>
      </c>
      <c r="BN665" s="65">
        <f t="shared" si="3347"/>
        <v>697.03</v>
      </c>
      <c r="BO665" s="67">
        <f t="shared" si="3348"/>
        <v>0</v>
      </c>
      <c r="BP665" s="65">
        <f t="shared" si="3349"/>
        <v>697.03</v>
      </c>
      <c r="BQ665" s="65">
        <f t="shared" si="3350"/>
        <v>0</v>
      </c>
      <c r="BR665" s="65">
        <f t="shared" si="3351"/>
        <v>0</v>
      </c>
      <c r="BS665" s="65">
        <f t="shared" si="3352"/>
        <v>0</v>
      </c>
      <c r="BT665" s="65">
        <f t="shared" si="3353"/>
        <v>0</v>
      </c>
      <c r="BU665" s="65">
        <f t="shared" si="3354"/>
        <v>697.03</v>
      </c>
      <c r="BV665" s="65">
        <f t="shared" si="3355"/>
        <v>0</v>
      </c>
      <c r="BW665" s="65">
        <f t="shared" si="3356"/>
        <v>697.03</v>
      </c>
      <c r="BX665" s="6"/>
      <c r="BY665" s="6"/>
      <c r="BZ665" s="6"/>
      <c r="CA665" s="6"/>
      <c r="CB665" s="6"/>
      <c r="CC665" s="6"/>
      <c r="CD665" s="6"/>
      <c r="CE665" s="6"/>
      <c r="CF665" s="6"/>
      <c r="CG665" s="6"/>
    </row>
    <row r="666" spans="1:85" ht="15.75" customHeight="1">
      <c r="A666" s="104" t="s">
        <v>799</v>
      </c>
      <c r="B666" s="68"/>
      <c r="C666" s="68" t="s">
        <v>739</v>
      </c>
      <c r="D666" s="124" t="s">
        <v>800</v>
      </c>
      <c r="E666" s="57">
        <v>0</v>
      </c>
      <c r="F666" s="57">
        <v>0</v>
      </c>
      <c r="G666" s="58">
        <f t="shared" si="3340"/>
        <v>0</v>
      </c>
      <c r="H666" s="99">
        <v>0</v>
      </c>
      <c r="I666" s="59">
        <f t="shared" si="3007"/>
        <v>0</v>
      </c>
      <c r="J666" s="59">
        <f t="shared" si="2705"/>
        <v>0</v>
      </c>
      <c r="K666" s="74">
        <v>3036.33</v>
      </c>
      <c r="L666" s="74">
        <v>0</v>
      </c>
      <c r="M666" s="74">
        <v>0</v>
      </c>
      <c r="N666" s="74">
        <v>0</v>
      </c>
      <c r="O666" s="61">
        <f t="shared" ref="O666:Q666" si="3438">AA666+AD666+AG666+AJ666+AM666+AP666+AS666+AV666+AY666+BB666+BE666+BH666</f>
        <v>1617.83</v>
      </c>
      <c r="P666" s="61">
        <f t="shared" si="3438"/>
        <v>0</v>
      </c>
      <c r="Q666" s="61">
        <f t="shared" si="3438"/>
        <v>0</v>
      </c>
      <c r="R666" s="61">
        <f t="shared" ref="R666:T666" si="3439">IF(BK666=0,SUM(AA666+AD666+AG666+AJ666+AM666+AP666+AS666+AV666+AY666+BB666+BE666+BH666),BK666)</f>
        <v>1617.83</v>
      </c>
      <c r="S666" s="61">
        <f t="shared" si="3439"/>
        <v>0</v>
      </c>
      <c r="T666" s="61">
        <f t="shared" si="3439"/>
        <v>0</v>
      </c>
      <c r="U666" s="62">
        <f t="shared" si="3343"/>
        <v>1418.5</v>
      </c>
      <c r="V666" s="63">
        <f t="shared" si="3344"/>
        <v>0</v>
      </c>
      <c r="W666" s="63">
        <f t="shared" si="3345"/>
        <v>0</v>
      </c>
      <c r="X666" s="64">
        <f t="shared" ref="X666:Y666" si="3440">IF(O666&gt;0,O666/K666,0)</f>
        <v>0.5328241660162103</v>
      </c>
      <c r="Y666" s="64">
        <f t="shared" si="3440"/>
        <v>0</v>
      </c>
      <c r="Z666" s="64">
        <f t="shared" si="3262"/>
        <v>0</v>
      </c>
      <c r="AA666" s="65"/>
      <c r="AB666" s="65"/>
      <c r="AC666" s="65"/>
      <c r="AD666" s="65"/>
      <c r="AE666" s="66"/>
      <c r="AF666" s="66"/>
      <c r="AG666" s="66"/>
      <c r="AH666" s="113"/>
      <c r="AI666" s="65"/>
      <c r="AJ666" s="65"/>
      <c r="AK666" s="65"/>
      <c r="AL666" s="65"/>
      <c r="AM666" s="65"/>
      <c r="AN666" s="65"/>
      <c r="AO666" s="65"/>
      <c r="AP666" s="65">
        <f>1617.83</f>
        <v>1617.83</v>
      </c>
      <c r="AQ666" s="65"/>
      <c r="AR666" s="65"/>
      <c r="AS666" s="65"/>
      <c r="AT666" s="65"/>
      <c r="AU666" s="65"/>
      <c r="AV666" s="65"/>
      <c r="AW666" s="65"/>
      <c r="AX666" s="65"/>
      <c r="AY666" s="65"/>
      <c r="AZ666" s="65"/>
      <c r="BA666" s="65"/>
      <c r="BB666" s="65"/>
      <c r="BC666" s="65"/>
      <c r="BD666" s="65"/>
      <c r="BE666" s="65"/>
      <c r="BF666" s="65"/>
      <c r="BG666" s="65"/>
      <c r="BH666" s="65"/>
      <c r="BI666" s="65"/>
      <c r="BJ666" s="65"/>
      <c r="BK666" s="65">
        <v>0</v>
      </c>
      <c r="BL666" s="65">
        <v>0</v>
      </c>
      <c r="BM666" s="65">
        <v>0</v>
      </c>
      <c r="BN666" s="65">
        <f t="shared" si="3347"/>
        <v>1617.83</v>
      </c>
      <c r="BO666" s="67">
        <f t="shared" si="3348"/>
        <v>0</v>
      </c>
      <c r="BP666" s="65">
        <f t="shared" si="3349"/>
        <v>1617.83</v>
      </c>
      <c r="BQ666" s="65">
        <f t="shared" si="3350"/>
        <v>1418.5</v>
      </c>
      <c r="BR666" s="65">
        <f t="shared" si="3351"/>
        <v>0</v>
      </c>
      <c r="BS666" s="65">
        <f t="shared" si="3352"/>
        <v>1418.5</v>
      </c>
      <c r="BT666" s="65">
        <f t="shared" si="3353"/>
        <v>0</v>
      </c>
      <c r="BU666" s="65">
        <f t="shared" si="3354"/>
        <v>1617.83</v>
      </c>
      <c r="BV666" s="65">
        <f t="shared" si="3355"/>
        <v>1418.5</v>
      </c>
      <c r="BW666" s="65">
        <f t="shared" si="3356"/>
        <v>3036.33</v>
      </c>
      <c r="BX666" s="6"/>
      <c r="BY666" s="6"/>
      <c r="BZ666" s="6"/>
      <c r="CA666" s="6"/>
      <c r="CB666" s="6"/>
      <c r="CC666" s="6"/>
      <c r="CD666" s="6"/>
      <c r="CE666" s="6"/>
      <c r="CF666" s="6"/>
      <c r="CG666" s="6"/>
    </row>
    <row r="667" spans="1:85" ht="15.75" customHeight="1">
      <c r="A667" s="104" t="s">
        <v>779</v>
      </c>
      <c r="B667" s="68"/>
      <c r="C667" s="68" t="s">
        <v>739</v>
      </c>
      <c r="D667" s="124" t="s">
        <v>801</v>
      </c>
      <c r="E667" s="57">
        <v>0</v>
      </c>
      <c r="F667" s="57">
        <v>0</v>
      </c>
      <c r="G667" s="58">
        <f t="shared" si="3340"/>
        <v>0</v>
      </c>
      <c r="H667" s="99">
        <v>0</v>
      </c>
      <c r="I667" s="59">
        <f t="shared" si="3007"/>
        <v>0</v>
      </c>
      <c r="J667" s="59">
        <f t="shared" si="2705"/>
        <v>0</v>
      </c>
      <c r="K667" s="74">
        <v>552</v>
      </c>
      <c r="L667" s="74">
        <v>0</v>
      </c>
      <c r="M667" s="74">
        <v>0</v>
      </c>
      <c r="N667" s="74">
        <v>0</v>
      </c>
      <c r="O667" s="61">
        <f t="shared" ref="O667:Q667" si="3441">AA667+AD667+AG667+AJ667+AM667+AP667+AS667+AV667+AY667+BB667+BE667+BH667</f>
        <v>552</v>
      </c>
      <c r="P667" s="61">
        <f t="shared" si="3441"/>
        <v>0</v>
      </c>
      <c r="Q667" s="61">
        <f t="shared" si="3441"/>
        <v>0</v>
      </c>
      <c r="R667" s="61">
        <f t="shared" ref="R667:T667" si="3442">IF(BK667=0,SUM(AA667+AD667+AG667+AJ667+AM667+AP667+AS667+AV667+AY667+BB667+BE667+BH667),BK667)</f>
        <v>552</v>
      </c>
      <c r="S667" s="61">
        <f t="shared" si="3442"/>
        <v>0</v>
      </c>
      <c r="T667" s="61">
        <f t="shared" si="3442"/>
        <v>0</v>
      </c>
      <c r="U667" s="63">
        <f t="shared" si="3343"/>
        <v>0</v>
      </c>
      <c r="V667" s="63">
        <f t="shared" si="3344"/>
        <v>0</v>
      </c>
      <c r="W667" s="63">
        <f t="shared" si="3345"/>
        <v>0</v>
      </c>
      <c r="X667" s="64">
        <f t="shared" ref="X667:Y667" si="3443">IF(O667&gt;0,O667/K667,0)</f>
        <v>1</v>
      </c>
      <c r="Y667" s="64">
        <f t="shared" si="3443"/>
        <v>0</v>
      </c>
      <c r="Z667" s="64">
        <f t="shared" si="3262"/>
        <v>0</v>
      </c>
      <c r="AA667" s="65"/>
      <c r="AB667" s="65"/>
      <c r="AC667" s="65"/>
      <c r="AD667" s="65"/>
      <c r="AE667" s="66"/>
      <c r="AF667" s="66"/>
      <c r="AG667" s="66"/>
      <c r="AH667" s="113"/>
      <c r="AI667" s="65"/>
      <c r="AJ667" s="65"/>
      <c r="AK667" s="65"/>
      <c r="AL667" s="65"/>
      <c r="AM667" s="65"/>
      <c r="AN667" s="65"/>
      <c r="AO667" s="65"/>
      <c r="AP667" s="100">
        <v>552</v>
      </c>
      <c r="AQ667" s="65"/>
      <c r="AR667" s="65"/>
      <c r="AS667" s="65"/>
      <c r="AT667" s="65"/>
      <c r="AU667" s="65"/>
      <c r="AV667" s="65"/>
      <c r="AW667" s="65"/>
      <c r="AX667" s="65"/>
      <c r="AY667" s="65"/>
      <c r="AZ667" s="65"/>
      <c r="BA667" s="65"/>
      <c r="BB667" s="65"/>
      <c r="BC667" s="65"/>
      <c r="BD667" s="65"/>
      <c r="BE667" s="65"/>
      <c r="BF667" s="65"/>
      <c r="BG667" s="65"/>
      <c r="BH667" s="65"/>
      <c r="BI667" s="65"/>
      <c r="BJ667" s="65"/>
      <c r="BK667" s="65">
        <v>0</v>
      </c>
      <c r="BL667" s="65">
        <v>0</v>
      </c>
      <c r="BM667" s="65">
        <v>0</v>
      </c>
      <c r="BN667" s="65">
        <f t="shared" si="3347"/>
        <v>552</v>
      </c>
      <c r="BO667" s="67">
        <f t="shared" si="3348"/>
        <v>0</v>
      </c>
      <c r="BP667" s="65">
        <f t="shared" si="3349"/>
        <v>552</v>
      </c>
      <c r="BQ667" s="65">
        <f t="shared" si="3350"/>
        <v>0</v>
      </c>
      <c r="BR667" s="65">
        <f t="shared" si="3351"/>
        <v>0</v>
      </c>
      <c r="BS667" s="65">
        <f t="shared" si="3352"/>
        <v>0</v>
      </c>
      <c r="BT667" s="65">
        <f t="shared" si="3353"/>
        <v>0</v>
      </c>
      <c r="BU667" s="65">
        <f t="shared" si="3354"/>
        <v>552</v>
      </c>
      <c r="BV667" s="65">
        <f t="shared" si="3355"/>
        <v>0</v>
      </c>
      <c r="BW667" s="65">
        <f t="shared" si="3356"/>
        <v>552</v>
      </c>
      <c r="BX667" s="6"/>
      <c r="BY667" s="6"/>
      <c r="BZ667" s="6"/>
      <c r="CA667" s="6"/>
      <c r="CB667" s="6"/>
      <c r="CC667" s="6"/>
      <c r="CD667" s="6"/>
      <c r="CE667" s="6"/>
      <c r="CF667" s="6"/>
      <c r="CG667" s="6"/>
    </row>
    <row r="668" spans="1:85" ht="15.75" customHeight="1">
      <c r="A668" s="104" t="s">
        <v>802</v>
      </c>
      <c r="B668" s="68"/>
      <c r="C668" s="104" t="s">
        <v>739</v>
      </c>
      <c r="D668" s="124" t="s">
        <v>803</v>
      </c>
      <c r="E668" s="57">
        <v>0</v>
      </c>
      <c r="F668" s="57">
        <v>0</v>
      </c>
      <c r="G668" s="58">
        <f t="shared" si="3340"/>
        <v>0</v>
      </c>
      <c r="H668" s="99">
        <v>0</v>
      </c>
      <c r="I668" s="59">
        <f t="shared" si="3007"/>
        <v>0</v>
      </c>
      <c r="J668" s="59">
        <f t="shared" si="2705"/>
        <v>0</v>
      </c>
      <c r="K668" s="74">
        <v>3016.21</v>
      </c>
      <c r="L668" s="74">
        <v>0</v>
      </c>
      <c r="M668" s="74">
        <v>0</v>
      </c>
      <c r="N668" s="74">
        <v>0</v>
      </c>
      <c r="O668" s="61">
        <f t="shared" ref="O668:Q668" si="3444">AA668+AD668+AG668+AJ668+AM668+AP668+AS668+AV668+AY668+BB668+BE668+BH668</f>
        <v>0</v>
      </c>
      <c r="P668" s="61">
        <f t="shared" si="3444"/>
        <v>0</v>
      </c>
      <c r="Q668" s="61">
        <f t="shared" si="3444"/>
        <v>0</v>
      </c>
      <c r="R668" s="61">
        <f t="shared" ref="R668:T668" si="3445">IF(BK668=0,SUM(AA668+AD668+AG668+AJ668+AM668+AP668+AS668+AV668+AY668+BB668+BE668+BH668),BK668)</f>
        <v>0</v>
      </c>
      <c r="S668" s="61">
        <f t="shared" si="3445"/>
        <v>0</v>
      </c>
      <c r="T668" s="61">
        <f t="shared" si="3445"/>
        <v>0</v>
      </c>
      <c r="U668" s="62">
        <f t="shared" si="3343"/>
        <v>3016.21</v>
      </c>
      <c r="V668" s="63">
        <f t="shared" si="3344"/>
        <v>0</v>
      </c>
      <c r="W668" s="63">
        <f t="shared" si="3345"/>
        <v>0</v>
      </c>
      <c r="X668" s="64">
        <f t="shared" ref="X668:Y668" si="3446">IF(O668&gt;0,O668/K668,0)</f>
        <v>0</v>
      </c>
      <c r="Y668" s="64">
        <f t="shared" si="3446"/>
        <v>0</v>
      </c>
      <c r="Z668" s="64">
        <f t="shared" si="3262"/>
        <v>0</v>
      </c>
      <c r="AA668" s="65"/>
      <c r="AB668" s="65"/>
      <c r="AC668" s="65"/>
      <c r="AD668" s="65"/>
      <c r="AE668" s="66"/>
      <c r="AF668" s="66"/>
      <c r="AG668" s="66"/>
      <c r="AH668" s="113"/>
      <c r="AI668" s="65"/>
      <c r="AJ668" s="65"/>
      <c r="AK668" s="65"/>
      <c r="AL668" s="65"/>
      <c r="AM668" s="65"/>
      <c r="AN668" s="65"/>
      <c r="AO668" s="65"/>
      <c r="AP668" s="65"/>
      <c r="AQ668" s="65"/>
      <c r="AR668" s="65"/>
      <c r="AS668" s="65"/>
      <c r="AT668" s="65"/>
      <c r="AU668" s="65"/>
      <c r="AV668" s="65"/>
      <c r="AW668" s="65"/>
      <c r="AX668" s="65"/>
      <c r="AY668" s="65"/>
      <c r="AZ668" s="65"/>
      <c r="BA668" s="65"/>
      <c r="BB668" s="65"/>
      <c r="BC668" s="65"/>
      <c r="BD668" s="65"/>
      <c r="BE668" s="65"/>
      <c r="BF668" s="65"/>
      <c r="BG668" s="65"/>
      <c r="BH668" s="65"/>
      <c r="BI668" s="65"/>
      <c r="BJ668" s="65"/>
      <c r="BK668" s="65">
        <v>0</v>
      </c>
      <c r="BL668" s="65">
        <v>0</v>
      </c>
      <c r="BM668" s="65">
        <v>0</v>
      </c>
      <c r="BN668" s="65">
        <f t="shared" si="3347"/>
        <v>0</v>
      </c>
      <c r="BO668" s="67">
        <f t="shared" si="3348"/>
        <v>0</v>
      </c>
      <c r="BP668" s="65">
        <f t="shared" si="3349"/>
        <v>0</v>
      </c>
      <c r="BQ668" s="65">
        <f t="shared" si="3350"/>
        <v>3016.21</v>
      </c>
      <c r="BR668" s="65">
        <f t="shared" si="3351"/>
        <v>0</v>
      </c>
      <c r="BS668" s="65">
        <f t="shared" si="3352"/>
        <v>3016.21</v>
      </c>
      <c r="BT668" s="65">
        <f t="shared" si="3353"/>
        <v>0</v>
      </c>
      <c r="BU668" s="65">
        <f t="shared" si="3354"/>
        <v>0</v>
      </c>
      <c r="BV668" s="65">
        <f t="shared" si="3355"/>
        <v>3016.21</v>
      </c>
      <c r="BW668" s="65">
        <f t="shared" si="3356"/>
        <v>3016.21</v>
      </c>
      <c r="BX668" s="6"/>
      <c r="BY668" s="6"/>
      <c r="BZ668" s="6"/>
      <c r="CA668" s="6"/>
      <c r="CB668" s="6"/>
      <c r="CC668" s="6"/>
      <c r="CD668" s="6"/>
      <c r="CE668" s="6"/>
      <c r="CF668" s="6"/>
      <c r="CG668" s="6"/>
    </row>
    <row r="669" spans="1:85" ht="15.75" customHeight="1">
      <c r="A669" s="104" t="s">
        <v>804</v>
      </c>
      <c r="B669" s="68"/>
      <c r="C669" s="104" t="s">
        <v>739</v>
      </c>
      <c r="D669" s="124" t="s">
        <v>805</v>
      </c>
      <c r="E669" s="57">
        <v>0</v>
      </c>
      <c r="F669" s="57">
        <v>0</v>
      </c>
      <c r="G669" s="58">
        <f t="shared" si="3340"/>
        <v>0</v>
      </c>
      <c r="H669" s="99">
        <v>0</v>
      </c>
      <c r="I669" s="59">
        <f t="shared" si="3007"/>
        <v>0</v>
      </c>
      <c r="J669" s="59">
        <f t="shared" si="2705"/>
        <v>0</v>
      </c>
      <c r="K669" s="74">
        <v>5377.1</v>
      </c>
      <c r="L669" s="74">
        <v>0</v>
      </c>
      <c r="M669" s="74">
        <v>0</v>
      </c>
      <c r="N669" s="74">
        <v>0</v>
      </c>
      <c r="O669" s="61">
        <f t="shared" ref="O669:Q669" si="3447">AA669+AD669+AG669+AJ669+AM669+AP669+AS669+AV669+AY669+BB669+BE669+BH669</f>
        <v>0</v>
      </c>
      <c r="P669" s="61">
        <f t="shared" si="3447"/>
        <v>0</v>
      </c>
      <c r="Q669" s="61">
        <f t="shared" si="3447"/>
        <v>0</v>
      </c>
      <c r="R669" s="61">
        <f t="shared" ref="R669:T669" si="3448">IF(BK669=0,SUM(AA669+AD669+AG669+AJ669+AM669+AP669+AS669+AV669+AY669+BB669+BE669+BH669),BK669)</f>
        <v>0</v>
      </c>
      <c r="S669" s="61">
        <f t="shared" si="3448"/>
        <v>0</v>
      </c>
      <c r="T669" s="61">
        <f t="shared" si="3448"/>
        <v>0</v>
      </c>
      <c r="U669" s="62">
        <f t="shared" si="3343"/>
        <v>5377.1</v>
      </c>
      <c r="V669" s="63">
        <f t="shared" si="3344"/>
        <v>0</v>
      </c>
      <c r="W669" s="63">
        <f t="shared" si="3345"/>
        <v>0</v>
      </c>
      <c r="X669" s="64">
        <f t="shared" ref="X669:Y669" si="3449">IF(O669&gt;0,O669/K669,0)</f>
        <v>0</v>
      </c>
      <c r="Y669" s="64">
        <f t="shared" si="3449"/>
        <v>0</v>
      </c>
      <c r="Z669" s="64">
        <f t="shared" si="3262"/>
        <v>0</v>
      </c>
      <c r="AA669" s="65"/>
      <c r="AB669" s="65"/>
      <c r="AC669" s="65"/>
      <c r="AD669" s="65"/>
      <c r="AE669" s="66"/>
      <c r="AF669" s="66"/>
      <c r="AG669" s="66"/>
      <c r="AH669" s="113"/>
      <c r="AI669" s="65"/>
      <c r="AJ669" s="65"/>
      <c r="AK669" s="65"/>
      <c r="AL669" s="65"/>
      <c r="AM669" s="65"/>
      <c r="AN669" s="65"/>
      <c r="AO669" s="65"/>
      <c r="AP669" s="65"/>
      <c r="AQ669" s="65"/>
      <c r="AR669" s="65"/>
      <c r="AS669" s="65"/>
      <c r="AT669" s="65"/>
      <c r="AU669" s="65"/>
      <c r="AV669" s="65"/>
      <c r="AW669" s="65"/>
      <c r="AX669" s="65"/>
      <c r="AY669" s="65"/>
      <c r="AZ669" s="65"/>
      <c r="BA669" s="65"/>
      <c r="BB669" s="65"/>
      <c r="BC669" s="65"/>
      <c r="BD669" s="65"/>
      <c r="BE669" s="65"/>
      <c r="BF669" s="65"/>
      <c r="BG669" s="65"/>
      <c r="BH669" s="65"/>
      <c r="BI669" s="65"/>
      <c r="BJ669" s="65"/>
      <c r="BK669" s="65">
        <v>0</v>
      </c>
      <c r="BL669" s="65">
        <v>0</v>
      </c>
      <c r="BM669" s="65">
        <v>0</v>
      </c>
      <c r="BN669" s="65">
        <f t="shared" si="3347"/>
        <v>0</v>
      </c>
      <c r="BO669" s="67">
        <f t="shared" si="3348"/>
        <v>0</v>
      </c>
      <c r="BP669" s="65">
        <f t="shared" si="3349"/>
        <v>0</v>
      </c>
      <c r="BQ669" s="65">
        <f t="shared" si="3350"/>
        <v>5377.1</v>
      </c>
      <c r="BR669" s="65">
        <f t="shared" si="3351"/>
        <v>0</v>
      </c>
      <c r="BS669" s="65">
        <f t="shared" si="3352"/>
        <v>5377.1</v>
      </c>
      <c r="BT669" s="65">
        <f t="shared" si="3353"/>
        <v>0</v>
      </c>
      <c r="BU669" s="65">
        <f t="shared" si="3354"/>
        <v>0</v>
      </c>
      <c r="BV669" s="65">
        <f t="shared" si="3355"/>
        <v>5377.1</v>
      </c>
      <c r="BW669" s="65">
        <f t="shared" si="3356"/>
        <v>5377.1</v>
      </c>
      <c r="BX669" s="6"/>
      <c r="BY669" s="6"/>
      <c r="BZ669" s="6"/>
      <c r="CA669" s="6"/>
      <c r="CB669" s="6"/>
      <c r="CC669" s="6"/>
      <c r="CD669" s="6"/>
      <c r="CE669" s="6"/>
      <c r="CF669" s="6"/>
      <c r="CG669" s="6"/>
    </row>
    <row r="670" spans="1:85" ht="15.75" customHeight="1">
      <c r="A670" s="104" t="s">
        <v>806</v>
      </c>
      <c r="B670" s="68"/>
      <c r="C670" s="104" t="s">
        <v>739</v>
      </c>
      <c r="D670" s="124" t="s">
        <v>807</v>
      </c>
      <c r="E670" s="57">
        <v>0</v>
      </c>
      <c r="F670" s="57">
        <v>0</v>
      </c>
      <c r="G670" s="58">
        <f t="shared" si="3340"/>
        <v>0</v>
      </c>
      <c r="H670" s="99">
        <v>0</v>
      </c>
      <c r="I670" s="59">
        <f t="shared" si="3007"/>
        <v>0</v>
      </c>
      <c r="J670" s="59">
        <f t="shared" si="2705"/>
        <v>0</v>
      </c>
      <c r="K670" s="74">
        <v>533.49</v>
      </c>
      <c r="L670" s="74">
        <v>0</v>
      </c>
      <c r="M670" s="74">
        <v>0</v>
      </c>
      <c r="N670" s="74">
        <v>0</v>
      </c>
      <c r="O670" s="61">
        <f t="shared" ref="O670:Q670" si="3450">AA670+AD670+AG670+AJ670+AM670+AP670+AS670+AV670+AY670+BB670+BE670+BH670</f>
        <v>533.49</v>
      </c>
      <c r="P670" s="61">
        <f t="shared" si="3450"/>
        <v>0</v>
      </c>
      <c r="Q670" s="61">
        <f t="shared" si="3450"/>
        <v>0</v>
      </c>
      <c r="R670" s="61">
        <f t="shared" ref="R670:T670" si="3451">IF(BK670=0,SUM(AA670+AD670+AG670+AJ670+AM670+AP670+AS670+AV670+AY670+BB670+BE670+BH670),BK670)</f>
        <v>533.49</v>
      </c>
      <c r="S670" s="61">
        <f t="shared" si="3451"/>
        <v>0</v>
      </c>
      <c r="T670" s="61">
        <f t="shared" si="3451"/>
        <v>0</v>
      </c>
      <c r="U670" s="63">
        <f t="shared" si="3343"/>
        <v>0</v>
      </c>
      <c r="V670" s="63">
        <f t="shared" si="3344"/>
        <v>0</v>
      </c>
      <c r="W670" s="63">
        <f t="shared" si="3345"/>
        <v>0</v>
      </c>
      <c r="X670" s="64">
        <f t="shared" ref="X670:Y670" si="3452">IF(O670&gt;0,O670/K670,0)</f>
        <v>1</v>
      </c>
      <c r="Y670" s="64">
        <f t="shared" si="3452"/>
        <v>0</v>
      </c>
      <c r="Z670" s="64">
        <f t="shared" si="3262"/>
        <v>0</v>
      </c>
      <c r="AA670" s="65"/>
      <c r="AB670" s="65"/>
      <c r="AC670" s="65"/>
      <c r="AD670" s="65"/>
      <c r="AE670" s="66"/>
      <c r="AF670" s="66"/>
      <c r="AG670" s="66"/>
      <c r="AH670" s="113"/>
      <c r="AI670" s="65"/>
      <c r="AJ670" s="65"/>
      <c r="AK670" s="65"/>
      <c r="AL670" s="65"/>
      <c r="AM670" s="65"/>
      <c r="AN670" s="65"/>
      <c r="AO670" s="65"/>
      <c r="AP670" s="100">
        <v>533.49</v>
      </c>
      <c r="AQ670" s="65"/>
      <c r="AR670" s="65"/>
      <c r="AS670" s="65"/>
      <c r="AT670" s="65"/>
      <c r="AU670" s="65"/>
      <c r="AV670" s="65"/>
      <c r="AW670" s="65"/>
      <c r="AX670" s="65"/>
      <c r="AY670" s="65"/>
      <c r="AZ670" s="65"/>
      <c r="BA670" s="65"/>
      <c r="BB670" s="65"/>
      <c r="BC670" s="65"/>
      <c r="BD670" s="65"/>
      <c r="BE670" s="65"/>
      <c r="BF670" s="65"/>
      <c r="BG670" s="65"/>
      <c r="BH670" s="65"/>
      <c r="BI670" s="65"/>
      <c r="BJ670" s="65"/>
      <c r="BK670" s="65">
        <v>0</v>
      </c>
      <c r="BL670" s="65">
        <v>0</v>
      </c>
      <c r="BM670" s="65">
        <v>0</v>
      </c>
      <c r="BN670" s="65">
        <f t="shared" si="3347"/>
        <v>533.49</v>
      </c>
      <c r="BO670" s="67">
        <f t="shared" si="3348"/>
        <v>0</v>
      </c>
      <c r="BP670" s="65">
        <f t="shared" si="3349"/>
        <v>533.49</v>
      </c>
      <c r="BQ670" s="65">
        <f t="shared" si="3350"/>
        <v>0</v>
      </c>
      <c r="BR670" s="65">
        <f t="shared" si="3351"/>
        <v>0</v>
      </c>
      <c r="BS670" s="65">
        <f t="shared" si="3352"/>
        <v>0</v>
      </c>
      <c r="BT670" s="65">
        <f t="shared" si="3353"/>
        <v>0</v>
      </c>
      <c r="BU670" s="65">
        <f t="shared" si="3354"/>
        <v>533.49</v>
      </c>
      <c r="BV670" s="65">
        <f t="shared" si="3355"/>
        <v>0</v>
      </c>
      <c r="BW670" s="65">
        <f t="shared" si="3356"/>
        <v>533.49</v>
      </c>
      <c r="BX670" s="6"/>
      <c r="BY670" s="6"/>
      <c r="BZ670" s="6"/>
      <c r="CA670" s="6"/>
      <c r="CB670" s="6"/>
      <c r="CC670" s="6"/>
      <c r="CD670" s="6"/>
      <c r="CE670" s="6"/>
      <c r="CF670" s="6"/>
      <c r="CG670" s="6"/>
    </row>
    <row r="671" spans="1:85" ht="15.75" customHeight="1">
      <c r="A671" s="104" t="s">
        <v>808</v>
      </c>
      <c r="B671" s="68"/>
      <c r="C671" s="104" t="s">
        <v>739</v>
      </c>
      <c r="D671" s="124" t="s">
        <v>809</v>
      </c>
      <c r="E671" s="57">
        <v>0</v>
      </c>
      <c r="F671" s="57">
        <v>0</v>
      </c>
      <c r="G671" s="58">
        <f t="shared" si="3340"/>
        <v>0</v>
      </c>
      <c r="H671" s="99">
        <v>0</v>
      </c>
      <c r="I671" s="59">
        <f t="shared" si="3007"/>
        <v>0</v>
      </c>
      <c r="J671" s="59">
        <f t="shared" si="2705"/>
        <v>0</v>
      </c>
      <c r="K671" s="74">
        <v>1028.03</v>
      </c>
      <c r="L671" s="74">
        <v>0</v>
      </c>
      <c r="M671" s="74">
        <v>0</v>
      </c>
      <c r="N671" s="74">
        <v>0</v>
      </c>
      <c r="O671" s="61">
        <f t="shared" ref="O671:Q671" si="3453">AA671+AD671+AG671+AJ671+AM671+AP671+AS671+AV671+AY671+BB671+BE671+BH671</f>
        <v>659.08</v>
      </c>
      <c r="P671" s="61">
        <f t="shared" si="3453"/>
        <v>0</v>
      </c>
      <c r="Q671" s="61">
        <f t="shared" si="3453"/>
        <v>0</v>
      </c>
      <c r="R671" s="61">
        <f t="shared" ref="R671:T671" si="3454">IF(BK671=0,SUM(AA671+AD671+AG671+AJ671+AM671+AP671+AS671+AV671+AY671+BB671+BE671+BH671),BK671)</f>
        <v>659.08</v>
      </c>
      <c r="S671" s="61">
        <f t="shared" si="3454"/>
        <v>0</v>
      </c>
      <c r="T671" s="61">
        <f t="shared" si="3454"/>
        <v>0</v>
      </c>
      <c r="U671" s="62">
        <f t="shared" si="3343"/>
        <v>368.94999999999993</v>
      </c>
      <c r="V671" s="63">
        <f t="shared" si="3344"/>
        <v>0</v>
      </c>
      <c r="W671" s="63">
        <f t="shared" si="3345"/>
        <v>0</v>
      </c>
      <c r="X671" s="64">
        <f t="shared" ref="X671:Y671" si="3455">IF(O671&gt;0,O671/K671,0)</f>
        <v>0.64110969524235684</v>
      </c>
      <c r="Y671" s="64">
        <f t="shared" si="3455"/>
        <v>0</v>
      </c>
      <c r="Z671" s="64">
        <f t="shared" si="3262"/>
        <v>0</v>
      </c>
      <c r="AA671" s="65"/>
      <c r="AB671" s="65"/>
      <c r="AC671" s="65"/>
      <c r="AD671" s="65"/>
      <c r="AE671" s="66"/>
      <c r="AF671" s="66"/>
      <c r="AG671" s="66"/>
      <c r="AH671" s="113"/>
      <c r="AI671" s="65"/>
      <c r="AJ671" s="65"/>
      <c r="AK671" s="65"/>
      <c r="AL671" s="65"/>
      <c r="AM671" s="65"/>
      <c r="AN671" s="65"/>
      <c r="AO671" s="65"/>
      <c r="AP671" s="65">
        <f>659.08</f>
        <v>659.08</v>
      </c>
      <c r="AQ671" s="65"/>
      <c r="AR671" s="65"/>
      <c r="AS671" s="65"/>
      <c r="AT671" s="65"/>
      <c r="AU671" s="65"/>
      <c r="AV671" s="65"/>
      <c r="AW671" s="65"/>
      <c r="AX671" s="65"/>
      <c r="AY671" s="65"/>
      <c r="AZ671" s="65"/>
      <c r="BA671" s="65"/>
      <c r="BB671" s="65"/>
      <c r="BC671" s="65"/>
      <c r="BD671" s="65"/>
      <c r="BE671" s="65"/>
      <c r="BF671" s="65"/>
      <c r="BG671" s="65"/>
      <c r="BH671" s="65"/>
      <c r="BI671" s="65"/>
      <c r="BJ671" s="65"/>
      <c r="BK671" s="65"/>
      <c r="BL671" s="65"/>
      <c r="BM671" s="65"/>
      <c r="BN671" s="65"/>
      <c r="BO671" s="67"/>
      <c r="BP671" s="65"/>
      <c r="BQ671" s="65"/>
      <c r="BR671" s="65"/>
      <c r="BS671" s="65"/>
      <c r="BT671" s="65"/>
      <c r="BU671" s="65"/>
      <c r="BV671" s="65"/>
      <c r="BW671" s="65"/>
      <c r="BX671" s="6"/>
      <c r="BY671" s="6"/>
      <c r="BZ671" s="6"/>
      <c r="CA671" s="6"/>
      <c r="CB671" s="6"/>
      <c r="CC671" s="6"/>
      <c r="CD671" s="6"/>
      <c r="CE671" s="6"/>
      <c r="CF671" s="6"/>
      <c r="CG671" s="6"/>
    </row>
    <row r="672" spans="1:85" ht="15.75" customHeight="1">
      <c r="A672" s="104" t="s">
        <v>810</v>
      </c>
      <c r="B672" s="68"/>
      <c r="C672" s="68" t="s">
        <v>93</v>
      </c>
      <c r="D672" s="124" t="s">
        <v>811</v>
      </c>
      <c r="E672" s="56">
        <f>10000+5000</f>
        <v>15000</v>
      </c>
      <c r="F672" s="57">
        <v>0</v>
      </c>
      <c r="G672" s="58">
        <f t="shared" si="3340"/>
        <v>15000</v>
      </c>
      <c r="H672" s="99">
        <v>0</v>
      </c>
      <c r="I672" s="59">
        <f t="shared" si="3007"/>
        <v>9.776E-2</v>
      </c>
      <c r="J672" s="59">
        <f t="shared" si="2705"/>
        <v>9.776E-2</v>
      </c>
      <c r="K672" s="74">
        <v>1466.4</v>
      </c>
      <c r="L672" s="74">
        <v>0</v>
      </c>
      <c r="M672" s="74">
        <v>0</v>
      </c>
      <c r="N672" s="74">
        <v>0</v>
      </c>
      <c r="O672" s="61">
        <f t="shared" ref="O672:Q672" si="3456">AA672+AD672+AG672+AJ672+AM672+AP672+AS672+AV672+AY672+BB672+BE672+BH672</f>
        <v>1466.4</v>
      </c>
      <c r="P672" s="61">
        <f t="shared" si="3456"/>
        <v>0</v>
      </c>
      <c r="Q672" s="61">
        <f t="shared" si="3456"/>
        <v>0</v>
      </c>
      <c r="R672" s="61">
        <f t="shared" ref="R672:T672" si="3457">IF(BK672=0,SUM(AA672+AD672+AG672+AJ672+AM672+AP672+AS672+AV672+AY672+BB672+BE672+BH672),BK672)</f>
        <v>1466.4</v>
      </c>
      <c r="S672" s="61">
        <f t="shared" si="3457"/>
        <v>0</v>
      </c>
      <c r="T672" s="61">
        <f t="shared" si="3457"/>
        <v>0</v>
      </c>
      <c r="U672" s="62">
        <f t="shared" si="3343"/>
        <v>0</v>
      </c>
      <c r="V672" s="63">
        <f t="shared" si="3344"/>
        <v>0</v>
      </c>
      <c r="W672" s="63">
        <f t="shared" si="3345"/>
        <v>0</v>
      </c>
      <c r="X672" s="64">
        <f t="shared" ref="X672:Y672" si="3458">IF(O672&gt;0,O672/K672,0)</f>
        <v>1</v>
      </c>
      <c r="Y672" s="64">
        <f t="shared" si="3458"/>
        <v>0</v>
      </c>
      <c r="Z672" s="64">
        <f t="shared" si="3262"/>
        <v>0</v>
      </c>
      <c r="AA672" s="65"/>
      <c r="AB672" s="65"/>
      <c r="AC672" s="65"/>
      <c r="AD672" s="65"/>
      <c r="AE672" s="66"/>
      <c r="AF672" s="66"/>
      <c r="AG672" s="66"/>
      <c r="AH672" s="113"/>
      <c r="AI672" s="65"/>
      <c r="AJ672" s="65"/>
      <c r="AK672" s="65"/>
      <c r="AL672" s="65"/>
      <c r="AM672" s="65"/>
      <c r="AN672" s="65"/>
      <c r="AO672" s="65"/>
      <c r="AP672" s="100">
        <v>1466.4</v>
      </c>
      <c r="AQ672" s="65"/>
      <c r="AR672" s="65"/>
      <c r="AS672" s="65"/>
      <c r="AT672" s="65"/>
      <c r="AU672" s="65"/>
      <c r="AV672" s="65"/>
      <c r="AW672" s="65"/>
      <c r="AX672" s="65"/>
      <c r="AY672" s="65"/>
      <c r="AZ672" s="65"/>
      <c r="BA672" s="65"/>
      <c r="BB672" s="65"/>
      <c r="BC672" s="65"/>
      <c r="BD672" s="65"/>
      <c r="BE672" s="65"/>
      <c r="BF672" s="65"/>
      <c r="BG672" s="65"/>
      <c r="BH672" s="65"/>
      <c r="BI672" s="65"/>
      <c r="BJ672" s="65"/>
      <c r="BK672" s="65">
        <v>0</v>
      </c>
      <c r="BL672" s="65">
        <v>0</v>
      </c>
      <c r="BM672" s="65">
        <v>0</v>
      </c>
      <c r="BN672" s="65">
        <f t="shared" ref="BN672:BN688" si="3459">IF(O672-BK672&gt;0,O672-BK672,0)</f>
        <v>1466.4</v>
      </c>
      <c r="BO672" s="67">
        <f t="shared" ref="BO672:BO688" si="3460">IF(Q672-BM672&gt;0,Q672-BM672,0)</f>
        <v>0</v>
      </c>
      <c r="BP672" s="65">
        <f t="shared" ref="BP672:BP688" si="3461">IF(BN672+BO672&gt;0,BN672+BO672,0)</f>
        <v>1466.4</v>
      </c>
      <c r="BQ672" s="65">
        <f t="shared" ref="BQ672:BQ688" si="3462">IF(U672=0,0,U672)</f>
        <v>0</v>
      </c>
      <c r="BR672" s="65">
        <f t="shared" ref="BR672:BR688" si="3463">IF(W672=0,0,W672)</f>
        <v>0</v>
      </c>
      <c r="BS672" s="65">
        <f t="shared" ref="BS672:BS688" si="3464">IF(BQ672+BR672&gt;0,BQ672+BR672,0)</f>
        <v>0</v>
      </c>
      <c r="BT672" s="65">
        <f t="shared" ref="BT672:BT688" si="3465">IF(V672&gt;0,V672,0)</f>
        <v>0</v>
      </c>
      <c r="BU672" s="65">
        <f t="shared" ref="BU672:BU688" si="3466">IF(BP672=0,0,BP672)</f>
        <v>1466.4</v>
      </c>
      <c r="BV672" s="65">
        <f t="shared" ref="BV672:BV688" si="3467">IF(BS672=0,0,BS672)</f>
        <v>0</v>
      </c>
      <c r="BW672" s="65">
        <f t="shared" ref="BW672:BW688" si="3468">IF(BP672+BT672+BV672&gt;0,BP672+BT672+BV672,0)</f>
        <v>1466.4</v>
      </c>
      <c r="BX672" s="6"/>
      <c r="BY672" s="6"/>
      <c r="BZ672" s="6"/>
      <c r="CA672" s="6"/>
      <c r="CB672" s="6"/>
      <c r="CC672" s="6"/>
      <c r="CD672" s="6"/>
      <c r="CE672" s="6"/>
      <c r="CF672" s="6"/>
      <c r="CG672" s="6"/>
    </row>
    <row r="673" spans="1:85" ht="15.75" customHeight="1">
      <c r="A673" s="104" t="s">
        <v>812</v>
      </c>
      <c r="B673" s="68"/>
      <c r="C673" s="68" t="s">
        <v>93</v>
      </c>
      <c r="D673" s="124" t="s">
        <v>813</v>
      </c>
      <c r="E673" s="57">
        <v>0</v>
      </c>
      <c r="F673" s="57">
        <v>0</v>
      </c>
      <c r="G673" s="58">
        <f t="shared" si="3340"/>
        <v>0</v>
      </c>
      <c r="H673" s="99">
        <v>0</v>
      </c>
      <c r="I673" s="59">
        <f t="shared" si="3007"/>
        <v>0</v>
      </c>
      <c r="J673" s="59">
        <f t="shared" si="2705"/>
        <v>0</v>
      </c>
      <c r="K673" s="74">
        <v>161.88</v>
      </c>
      <c r="L673" s="74">
        <v>0</v>
      </c>
      <c r="M673" s="74">
        <v>0</v>
      </c>
      <c r="N673" s="74">
        <v>0</v>
      </c>
      <c r="O673" s="61">
        <f t="shared" ref="O673:Q673" si="3469">AA673+AD673+AG673+AJ673+AM673+AP673+AS673+AV673+AY673+BB673+BE673+BH673</f>
        <v>161.88</v>
      </c>
      <c r="P673" s="61">
        <f t="shared" si="3469"/>
        <v>0</v>
      </c>
      <c r="Q673" s="61">
        <f t="shared" si="3469"/>
        <v>0</v>
      </c>
      <c r="R673" s="61">
        <f t="shared" ref="R673:T673" si="3470">IF(BK673=0,SUM(AA673+AD673+AG673+AJ673+AM673+AP673+AS673+AV673+AY673+BB673+BE673+BH673),BK673)</f>
        <v>161.88</v>
      </c>
      <c r="S673" s="61">
        <f t="shared" si="3470"/>
        <v>0</v>
      </c>
      <c r="T673" s="61">
        <f t="shared" si="3470"/>
        <v>0</v>
      </c>
      <c r="U673" s="63">
        <f t="shared" si="3343"/>
        <v>0</v>
      </c>
      <c r="V673" s="63">
        <f t="shared" si="3344"/>
        <v>0</v>
      </c>
      <c r="W673" s="63">
        <f t="shared" si="3345"/>
        <v>0</v>
      </c>
      <c r="X673" s="64">
        <f t="shared" ref="X673:Y673" si="3471">IF(O673&gt;0,O673/K673,0)</f>
        <v>1</v>
      </c>
      <c r="Y673" s="64">
        <f t="shared" si="3471"/>
        <v>0</v>
      </c>
      <c r="Z673" s="64">
        <f t="shared" si="3262"/>
        <v>0</v>
      </c>
      <c r="AA673" s="65"/>
      <c r="AB673" s="65"/>
      <c r="AC673" s="65"/>
      <c r="AD673" s="65"/>
      <c r="AE673" s="66"/>
      <c r="AF673" s="66"/>
      <c r="AG673" s="66"/>
      <c r="AH673" s="113"/>
      <c r="AI673" s="65"/>
      <c r="AJ673" s="65"/>
      <c r="AK673" s="65"/>
      <c r="AL673" s="65"/>
      <c r="AM673" s="65"/>
      <c r="AN673" s="65"/>
      <c r="AO673" s="65"/>
      <c r="AP673" s="100">
        <v>161.88</v>
      </c>
      <c r="AQ673" s="65"/>
      <c r="AR673" s="65"/>
      <c r="AS673" s="65"/>
      <c r="AT673" s="65"/>
      <c r="AU673" s="65"/>
      <c r="AV673" s="65"/>
      <c r="AW673" s="65"/>
      <c r="AX673" s="65"/>
      <c r="AY673" s="65"/>
      <c r="AZ673" s="65"/>
      <c r="BA673" s="65"/>
      <c r="BB673" s="65"/>
      <c r="BC673" s="65"/>
      <c r="BD673" s="65"/>
      <c r="BE673" s="65"/>
      <c r="BF673" s="65"/>
      <c r="BG673" s="65"/>
      <c r="BH673" s="65"/>
      <c r="BI673" s="65"/>
      <c r="BJ673" s="65"/>
      <c r="BK673" s="65">
        <v>0</v>
      </c>
      <c r="BL673" s="65">
        <v>0</v>
      </c>
      <c r="BM673" s="65">
        <v>0</v>
      </c>
      <c r="BN673" s="65">
        <f t="shared" si="3459"/>
        <v>161.88</v>
      </c>
      <c r="BO673" s="67">
        <f t="shared" si="3460"/>
        <v>0</v>
      </c>
      <c r="BP673" s="65">
        <f t="shared" si="3461"/>
        <v>161.88</v>
      </c>
      <c r="BQ673" s="65">
        <f t="shared" si="3462"/>
        <v>0</v>
      </c>
      <c r="BR673" s="65">
        <f t="shared" si="3463"/>
        <v>0</v>
      </c>
      <c r="BS673" s="65">
        <f t="shared" si="3464"/>
        <v>0</v>
      </c>
      <c r="BT673" s="65">
        <f t="shared" si="3465"/>
        <v>0</v>
      </c>
      <c r="BU673" s="65">
        <f t="shared" si="3466"/>
        <v>161.88</v>
      </c>
      <c r="BV673" s="65">
        <f t="shared" si="3467"/>
        <v>0</v>
      </c>
      <c r="BW673" s="65">
        <f t="shared" si="3468"/>
        <v>161.88</v>
      </c>
      <c r="BX673" s="6"/>
      <c r="BY673" s="6"/>
      <c r="BZ673" s="6"/>
      <c r="CA673" s="6"/>
      <c r="CB673" s="6"/>
      <c r="CC673" s="6"/>
      <c r="CD673" s="6"/>
      <c r="CE673" s="6"/>
      <c r="CF673" s="6"/>
      <c r="CG673" s="6"/>
    </row>
    <row r="674" spans="1:85" ht="15.75" customHeight="1">
      <c r="A674" s="68"/>
      <c r="B674" s="68" t="s">
        <v>814</v>
      </c>
      <c r="C674" s="68" t="s">
        <v>93</v>
      </c>
      <c r="D674" s="122" t="s">
        <v>815</v>
      </c>
      <c r="E674" s="57">
        <v>0</v>
      </c>
      <c r="F674" s="99">
        <v>0</v>
      </c>
      <c r="G674" s="58">
        <f t="shared" si="3340"/>
        <v>0</v>
      </c>
      <c r="H674" s="99">
        <v>0</v>
      </c>
      <c r="I674" s="59">
        <f t="shared" si="3007"/>
        <v>0</v>
      </c>
      <c r="J674" s="59">
        <f t="shared" si="2705"/>
        <v>0</v>
      </c>
      <c r="K674" s="74">
        <v>0</v>
      </c>
      <c r="L674" s="376">
        <v>3520</v>
      </c>
      <c r="M674" s="74">
        <v>0</v>
      </c>
      <c r="N674" s="74">
        <v>0</v>
      </c>
      <c r="O674" s="61">
        <f t="shared" ref="O674:Q674" si="3472">AA674+AD674+AG674+AJ674+AM674+AP674+AS674+AV674+AY674+BB674+BE674+BH674</f>
        <v>0</v>
      </c>
      <c r="P674" s="61">
        <f t="shared" si="3472"/>
        <v>3520</v>
      </c>
      <c r="Q674" s="61">
        <f t="shared" si="3472"/>
        <v>0</v>
      </c>
      <c r="R674" s="61">
        <f t="shared" ref="R674:T674" si="3473">IF(BK674=0,SUM(AA674+AD674+AG674+AJ674+AM674+AP674+AS674+AV674+AY674+BB674+BE674+BH674),BK674)</f>
        <v>0</v>
      </c>
      <c r="S674" s="61">
        <f t="shared" si="3473"/>
        <v>3520</v>
      </c>
      <c r="T674" s="61">
        <f t="shared" si="3473"/>
        <v>0</v>
      </c>
      <c r="U674" s="63">
        <f t="shared" si="3343"/>
        <v>0</v>
      </c>
      <c r="V674" s="63">
        <f t="shared" si="3344"/>
        <v>0</v>
      </c>
      <c r="W674" s="63">
        <f t="shared" si="3345"/>
        <v>0</v>
      </c>
      <c r="X674" s="64">
        <f t="shared" ref="X674:Y674" si="3474">IF(O674&gt;0,O674/K674,0)</f>
        <v>0</v>
      </c>
      <c r="Y674" s="64">
        <f t="shared" si="3474"/>
        <v>1</v>
      </c>
      <c r="Z674" s="64">
        <f t="shared" si="3262"/>
        <v>0</v>
      </c>
      <c r="AA674" s="65"/>
      <c r="AB674" s="65"/>
      <c r="AC674" s="65"/>
      <c r="AD674" s="65"/>
      <c r="AE674" s="66"/>
      <c r="AF674" s="66"/>
      <c r="AG674" s="66"/>
      <c r="AH674" s="113">
        <v>3520</v>
      </c>
      <c r="AI674" s="65"/>
      <c r="AJ674" s="65"/>
      <c r="AK674" s="65"/>
      <c r="AL674" s="65"/>
      <c r="AM674" s="65"/>
      <c r="AN674" s="65"/>
      <c r="AO674" s="65"/>
      <c r="AP674" s="65"/>
      <c r="AQ674" s="65"/>
      <c r="AR674" s="65"/>
      <c r="AS674" s="65"/>
      <c r="AT674" s="65"/>
      <c r="AU674" s="65"/>
      <c r="AV674" s="65"/>
      <c r="AW674" s="65"/>
      <c r="AX674" s="65"/>
      <c r="AY674" s="65"/>
      <c r="AZ674" s="65"/>
      <c r="BA674" s="65"/>
      <c r="BB674" s="65"/>
      <c r="BC674" s="65"/>
      <c r="BD674" s="65"/>
      <c r="BE674" s="65"/>
      <c r="BF674" s="65"/>
      <c r="BG674" s="65"/>
      <c r="BH674" s="65"/>
      <c r="BI674" s="65"/>
      <c r="BJ674" s="65"/>
      <c r="BK674" s="65">
        <v>0</v>
      </c>
      <c r="BL674" s="65">
        <v>0</v>
      </c>
      <c r="BM674" s="65">
        <v>0</v>
      </c>
      <c r="BN674" s="65">
        <f t="shared" si="3459"/>
        <v>0</v>
      </c>
      <c r="BO674" s="67">
        <f t="shared" si="3460"/>
        <v>0</v>
      </c>
      <c r="BP674" s="65">
        <f t="shared" si="3461"/>
        <v>0</v>
      </c>
      <c r="BQ674" s="65">
        <f t="shared" si="3462"/>
        <v>0</v>
      </c>
      <c r="BR674" s="65">
        <f t="shared" si="3463"/>
        <v>0</v>
      </c>
      <c r="BS674" s="65">
        <f t="shared" si="3464"/>
        <v>0</v>
      </c>
      <c r="BT674" s="65">
        <f t="shared" si="3465"/>
        <v>0</v>
      </c>
      <c r="BU674" s="65">
        <f t="shared" si="3466"/>
        <v>0</v>
      </c>
      <c r="BV674" s="65">
        <f t="shared" si="3467"/>
        <v>0</v>
      </c>
      <c r="BW674" s="65">
        <f t="shared" si="3468"/>
        <v>0</v>
      </c>
      <c r="BX674" s="6"/>
      <c r="BY674" s="6"/>
      <c r="BZ674" s="6"/>
      <c r="CA674" s="6"/>
      <c r="CB674" s="6"/>
      <c r="CC674" s="6"/>
      <c r="CD674" s="6"/>
      <c r="CE674" s="6"/>
      <c r="CF674" s="6"/>
      <c r="CG674" s="6"/>
    </row>
    <row r="675" spans="1:85" ht="15.75" customHeight="1">
      <c r="A675" s="104" t="s">
        <v>802</v>
      </c>
      <c r="B675" s="103"/>
      <c r="C675" s="68" t="s">
        <v>98</v>
      </c>
      <c r="D675" s="105" t="s">
        <v>816</v>
      </c>
      <c r="E675" s="57">
        <v>0</v>
      </c>
      <c r="F675" s="57">
        <v>0</v>
      </c>
      <c r="G675" s="58">
        <f t="shared" si="3340"/>
        <v>0</v>
      </c>
      <c r="H675" s="99">
        <v>0</v>
      </c>
      <c r="I675" s="59">
        <f t="shared" si="3007"/>
        <v>0</v>
      </c>
      <c r="J675" s="59">
        <f t="shared" si="2705"/>
        <v>0</v>
      </c>
      <c r="K675" s="74">
        <v>273.60000000000002</v>
      </c>
      <c r="L675" s="74">
        <v>0</v>
      </c>
      <c r="M675" s="74">
        <v>0</v>
      </c>
      <c r="N675" s="74">
        <v>0</v>
      </c>
      <c r="O675" s="61">
        <f t="shared" ref="O675:Q675" si="3475">AA675+AD675+AG675+AJ675+AM675+AP675+AS675+AV675+AY675+BB675+BE675+BH675</f>
        <v>0</v>
      </c>
      <c r="P675" s="61">
        <f t="shared" si="3475"/>
        <v>0</v>
      </c>
      <c r="Q675" s="61">
        <f t="shared" si="3475"/>
        <v>0</v>
      </c>
      <c r="R675" s="61">
        <f t="shared" ref="R675:T675" si="3476">IF(BK675=0,SUM(AA675+AD675+AG675+AJ675+AM675+AP675+AS675+AV675+AY675+BB675+BE675+BH675),BK675)</f>
        <v>0</v>
      </c>
      <c r="S675" s="61">
        <f t="shared" si="3476"/>
        <v>0</v>
      </c>
      <c r="T675" s="61">
        <f t="shared" si="3476"/>
        <v>0</v>
      </c>
      <c r="U675" s="62">
        <f t="shared" si="3343"/>
        <v>273.60000000000002</v>
      </c>
      <c r="V675" s="63">
        <f t="shared" si="3344"/>
        <v>0</v>
      </c>
      <c r="W675" s="63">
        <f t="shared" si="3345"/>
        <v>0</v>
      </c>
      <c r="X675" s="64">
        <f t="shared" ref="X675:Y675" si="3477">IF(O675&gt;0,O675/K675,0)</f>
        <v>0</v>
      </c>
      <c r="Y675" s="64">
        <f t="shared" si="3477"/>
        <v>0</v>
      </c>
      <c r="Z675" s="64">
        <f t="shared" si="3262"/>
        <v>0</v>
      </c>
      <c r="AA675" s="65"/>
      <c r="AB675" s="65"/>
      <c r="AC675" s="65"/>
      <c r="AD675" s="65"/>
      <c r="AE675" s="66"/>
      <c r="AF675" s="66"/>
      <c r="AG675" s="66"/>
      <c r="AH675" s="66"/>
      <c r="AI675" s="65"/>
      <c r="AJ675" s="65"/>
      <c r="AK675" s="65"/>
      <c r="AL675" s="65"/>
      <c r="AM675" s="65"/>
      <c r="AN675" s="65"/>
      <c r="AO675" s="65"/>
      <c r="AP675" s="65"/>
      <c r="AQ675" s="65"/>
      <c r="AR675" s="65"/>
      <c r="AS675" s="65"/>
      <c r="AT675" s="65"/>
      <c r="AU675" s="65"/>
      <c r="AV675" s="65"/>
      <c r="AW675" s="65"/>
      <c r="AX675" s="65"/>
      <c r="AY675" s="65"/>
      <c r="AZ675" s="65"/>
      <c r="BA675" s="65"/>
      <c r="BB675" s="65"/>
      <c r="BC675" s="65"/>
      <c r="BD675" s="65"/>
      <c r="BE675" s="65"/>
      <c r="BF675" s="65"/>
      <c r="BG675" s="65"/>
      <c r="BH675" s="65"/>
      <c r="BI675" s="65"/>
      <c r="BJ675" s="65"/>
      <c r="BK675" s="65">
        <v>0</v>
      </c>
      <c r="BL675" s="65">
        <v>0</v>
      </c>
      <c r="BM675" s="65">
        <v>0</v>
      </c>
      <c r="BN675" s="65">
        <f t="shared" si="3459"/>
        <v>0</v>
      </c>
      <c r="BO675" s="67">
        <f t="shared" si="3460"/>
        <v>0</v>
      </c>
      <c r="BP675" s="65">
        <f t="shared" si="3461"/>
        <v>0</v>
      </c>
      <c r="BQ675" s="65">
        <f t="shared" si="3462"/>
        <v>273.60000000000002</v>
      </c>
      <c r="BR675" s="65">
        <f t="shared" si="3463"/>
        <v>0</v>
      </c>
      <c r="BS675" s="65">
        <f t="shared" si="3464"/>
        <v>273.60000000000002</v>
      </c>
      <c r="BT675" s="65">
        <f t="shared" si="3465"/>
        <v>0</v>
      </c>
      <c r="BU675" s="65">
        <f t="shared" si="3466"/>
        <v>0</v>
      </c>
      <c r="BV675" s="65">
        <f t="shared" si="3467"/>
        <v>273.60000000000002</v>
      </c>
      <c r="BW675" s="65">
        <f t="shared" si="3468"/>
        <v>273.60000000000002</v>
      </c>
      <c r="BX675" s="6"/>
      <c r="BY675" s="6"/>
      <c r="BZ675" s="6"/>
      <c r="CA675" s="6"/>
      <c r="CB675" s="6"/>
      <c r="CC675" s="6"/>
      <c r="CD675" s="6"/>
      <c r="CE675" s="6"/>
      <c r="CF675" s="6"/>
      <c r="CG675" s="6"/>
    </row>
    <row r="676" spans="1:85" ht="15.75" customHeight="1">
      <c r="A676" s="104" t="s">
        <v>799</v>
      </c>
      <c r="B676" s="103"/>
      <c r="C676" s="68" t="s">
        <v>98</v>
      </c>
      <c r="D676" s="105" t="s">
        <v>817</v>
      </c>
      <c r="E676" s="57">
        <v>0</v>
      </c>
      <c r="F676" s="57">
        <v>0</v>
      </c>
      <c r="G676" s="58">
        <f t="shared" si="3340"/>
        <v>0</v>
      </c>
      <c r="H676" s="99">
        <v>0</v>
      </c>
      <c r="I676" s="59">
        <f t="shared" si="3007"/>
        <v>0</v>
      </c>
      <c r="J676" s="59">
        <f t="shared" si="2705"/>
        <v>0</v>
      </c>
      <c r="K676" s="74">
        <v>16.940000000000001</v>
      </c>
      <c r="L676" s="74">
        <v>0</v>
      </c>
      <c r="M676" s="74">
        <v>0</v>
      </c>
      <c r="N676" s="74">
        <v>0</v>
      </c>
      <c r="O676" s="61">
        <f t="shared" ref="O676:Q676" si="3478">AA676+AD676+AG676+AJ676+AM676+AP676+AS676+AV676+AY676+BB676+BE676+BH676</f>
        <v>16.940000000000001</v>
      </c>
      <c r="P676" s="61">
        <f t="shared" si="3478"/>
        <v>0</v>
      </c>
      <c r="Q676" s="61">
        <f t="shared" si="3478"/>
        <v>0</v>
      </c>
      <c r="R676" s="61">
        <f t="shared" ref="R676:T676" si="3479">IF(BK676=0,SUM(AA676+AD676+AG676+AJ676+AM676+AP676+AS676+AV676+AY676+BB676+BE676+BH676),BK676)</f>
        <v>16.940000000000001</v>
      </c>
      <c r="S676" s="61">
        <f t="shared" si="3479"/>
        <v>0</v>
      </c>
      <c r="T676" s="61">
        <f t="shared" si="3479"/>
        <v>0</v>
      </c>
      <c r="U676" s="63">
        <f t="shared" si="3343"/>
        <v>0</v>
      </c>
      <c r="V676" s="63">
        <f t="shared" si="3344"/>
        <v>0</v>
      </c>
      <c r="W676" s="63">
        <f t="shared" si="3345"/>
        <v>0</v>
      </c>
      <c r="X676" s="64">
        <f t="shared" ref="X676:Y676" si="3480">IF(O676&gt;0,O676/K676,0)</f>
        <v>1</v>
      </c>
      <c r="Y676" s="64">
        <f t="shared" si="3480"/>
        <v>0</v>
      </c>
      <c r="Z676" s="64">
        <f t="shared" si="3262"/>
        <v>0</v>
      </c>
      <c r="AA676" s="65"/>
      <c r="AB676" s="65"/>
      <c r="AC676" s="65"/>
      <c r="AD676" s="65"/>
      <c r="AE676" s="66"/>
      <c r="AF676" s="66"/>
      <c r="AG676" s="66"/>
      <c r="AH676" s="66"/>
      <c r="AI676" s="65"/>
      <c r="AJ676" s="65"/>
      <c r="AK676" s="65"/>
      <c r="AL676" s="65"/>
      <c r="AM676" s="65"/>
      <c r="AN676" s="65"/>
      <c r="AO676" s="65"/>
      <c r="AP676" s="100">
        <v>16.940000000000001</v>
      </c>
      <c r="AQ676" s="65"/>
      <c r="AR676" s="65"/>
      <c r="AS676" s="65"/>
      <c r="AT676" s="65"/>
      <c r="AU676" s="65"/>
      <c r="AV676" s="65"/>
      <c r="AW676" s="65"/>
      <c r="AX676" s="65"/>
      <c r="AY676" s="65"/>
      <c r="AZ676" s="65"/>
      <c r="BA676" s="65"/>
      <c r="BB676" s="65"/>
      <c r="BC676" s="65"/>
      <c r="BD676" s="65"/>
      <c r="BE676" s="65"/>
      <c r="BF676" s="65"/>
      <c r="BG676" s="65"/>
      <c r="BH676" s="65"/>
      <c r="BI676" s="65"/>
      <c r="BJ676" s="65"/>
      <c r="BK676" s="65">
        <v>0</v>
      </c>
      <c r="BL676" s="65">
        <v>0</v>
      </c>
      <c r="BM676" s="65">
        <v>0</v>
      </c>
      <c r="BN676" s="65">
        <f t="shared" si="3459"/>
        <v>16.940000000000001</v>
      </c>
      <c r="BO676" s="67">
        <f t="shared" si="3460"/>
        <v>0</v>
      </c>
      <c r="BP676" s="65">
        <f t="shared" si="3461"/>
        <v>16.940000000000001</v>
      </c>
      <c r="BQ676" s="65">
        <f t="shared" si="3462"/>
        <v>0</v>
      </c>
      <c r="BR676" s="65">
        <f t="shared" si="3463"/>
        <v>0</v>
      </c>
      <c r="BS676" s="65">
        <f t="shared" si="3464"/>
        <v>0</v>
      </c>
      <c r="BT676" s="65">
        <f t="shared" si="3465"/>
        <v>0</v>
      </c>
      <c r="BU676" s="65">
        <f t="shared" si="3466"/>
        <v>16.940000000000001</v>
      </c>
      <c r="BV676" s="65">
        <f t="shared" si="3467"/>
        <v>0</v>
      </c>
      <c r="BW676" s="65">
        <f t="shared" si="3468"/>
        <v>16.940000000000001</v>
      </c>
      <c r="BX676" s="6"/>
      <c r="BY676" s="6"/>
      <c r="BZ676" s="6"/>
      <c r="CA676" s="6"/>
      <c r="CB676" s="6"/>
      <c r="CC676" s="6"/>
      <c r="CD676" s="6"/>
      <c r="CE676" s="6"/>
      <c r="CF676" s="6"/>
      <c r="CG676" s="6"/>
    </row>
    <row r="677" spans="1:85" ht="15.75" customHeight="1">
      <c r="A677" s="104" t="s">
        <v>779</v>
      </c>
      <c r="B677" s="103"/>
      <c r="C677" s="68" t="s">
        <v>98</v>
      </c>
      <c r="D677" s="105" t="s">
        <v>818</v>
      </c>
      <c r="E677" s="56">
        <v>5000</v>
      </c>
      <c r="F677" s="99">
        <v>0</v>
      </c>
      <c r="G677" s="58">
        <f t="shared" si="3340"/>
        <v>5000</v>
      </c>
      <c r="H677" s="99">
        <v>0</v>
      </c>
      <c r="I677" s="59">
        <f t="shared" si="3007"/>
        <v>4.8589999999999994E-2</v>
      </c>
      <c r="J677" s="59">
        <f t="shared" si="2705"/>
        <v>4.8589999999999994E-2</v>
      </c>
      <c r="K677" s="74">
        <v>242.95</v>
      </c>
      <c r="L677" s="74">
        <v>0</v>
      </c>
      <c r="M677" s="74">
        <v>0</v>
      </c>
      <c r="N677" s="74">
        <v>0</v>
      </c>
      <c r="O677" s="61">
        <f t="shared" ref="O677:Q677" si="3481">AA677+AD677+AG677+AJ677+AM677+AP677+AS677+AV677+AY677+BB677+BE677+BH677</f>
        <v>242.95</v>
      </c>
      <c r="P677" s="61">
        <f t="shared" si="3481"/>
        <v>0</v>
      </c>
      <c r="Q677" s="61">
        <f t="shared" si="3481"/>
        <v>0</v>
      </c>
      <c r="R677" s="61">
        <f t="shared" ref="R677:T677" si="3482">IF(BK677=0,SUM(AA677+AD677+AG677+AJ677+AM677+AP677+AS677+AV677+AY677+BB677+BE677+BH677),BK677)</f>
        <v>242.95</v>
      </c>
      <c r="S677" s="61">
        <f t="shared" si="3482"/>
        <v>0</v>
      </c>
      <c r="T677" s="61">
        <f t="shared" si="3482"/>
        <v>0</v>
      </c>
      <c r="U677" s="63">
        <f t="shared" si="3343"/>
        <v>0</v>
      </c>
      <c r="V677" s="63">
        <f t="shared" si="3344"/>
        <v>0</v>
      </c>
      <c r="W677" s="63">
        <f t="shared" si="3345"/>
        <v>0</v>
      </c>
      <c r="X677" s="64">
        <f t="shared" ref="X677:Y677" si="3483">IF(O677&gt;0,O677/K677,0)</f>
        <v>1</v>
      </c>
      <c r="Y677" s="64">
        <f t="shared" si="3483"/>
        <v>0</v>
      </c>
      <c r="Z677" s="64">
        <f t="shared" si="3262"/>
        <v>0</v>
      </c>
      <c r="AA677" s="65"/>
      <c r="AB677" s="65"/>
      <c r="AC677" s="65"/>
      <c r="AD677" s="65"/>
      <c r="AE677" s="66"/>
      <c r="AF677" s="66"/>
      <c r="AG677" s="66"/>
      <c r="AH677" s="66"/>
      <c r="AI677" s="65"/>
      <c r="AJ677" s="65"/>
      <c r="AK677" s="65"/>
      <c r="AL677" s="65"/>
      <c r="AM677" s="65"/>
      <c r="AN677" s="65"/>
      <c r="AO677" s="65"/>
      <c r="AP677" s="100">
        <v>242.95</v>
      </c>
      <c r="AQ677" s="65"/>
      <c r="AR677" s="65"/>
      <c r="AS677" s="65"/>
      <c r="AT677" s="65"/>
      <c r="AU677" s="65"/>
      <c r="AV677" s="65"/>
      <c r="AW677" s="65"/>
      <c r="AX677" s="65"/>
      <c r="AY677" s="65"/>
      <c r="AZ677" s="65"/>
      <c r="BA677" s="65"/>
      <c r="BB677" s="65"/>
      <c r="BC677" s="65"/>
      <c r="BD677" s="65"/>
      <c r="BE677" s="65"/>
      <c r="BF677" s="65"/>
      <c r="BG677" s="65"/>
      <c r="BH677" s="65"/>
      <c r="BI677" s="65"/>
      <c r="BJ677" s="65"/>
      <c r="BK677" s="65">
        <v>0</v>
      </c>
      <c r="BL677" s="65">
        <v>0</v>
      </c>
      <c r="BM677" s="65">
        <v>0</v>
      </c>
      <c r="BN677" s="65">
        <f t="shared" si="3459"/>
        <v>242.95</v>
      </c>
      <c r="BO677" s="67">
        <f t="shared" si="3460"/>
        <v>0</v>
      </c>
      <c r="BP677" s="65">
        <f t="shared" si="3461"/>
        <v>242.95</v>
      </c>
      <c r="BQ677" s="65">
        <f t="shared" si="3462"/>
        <v>0</v>
      </c>
      <c r="BR677" s="65">
        <f t="shared" si="3463"/>
        <v>0</v>
      </c>
      <c r="BS677" s="65">
        <f t="shared" si="3464"/>
        <v>0</v>
      </c>
      <c r="BT677" s="65">
        <f t="shared" si="3465"/>
        <v>0</v>
      </c>
      <c r="BU677" s="65">
        <f t="shared" si="3466"/>
        <v>242.95</v>
      </c>
      <c r="BV677" s="65">
        <f t="shared" si="3467"/>
        <v>0</v>
      </c>
      <c r="BW677" s="65">
        <f t="shared" si="3468"/>
        <v>242.95</v>
      </c>
      <c r="BX677" s="6"/>
      <c r="BY677" s="6"/>
      <c r="BZ677" s="6"/>
      <c r="CA677" s="6"/>
      <c r="CB677" s="6"/>
      <c r="CC677" s="6"/>
      <c r="CD677" s="6"/>
      <c r="CE677" s="6"/>
      <c r="CF677" s="6"/>
      <c r="CG677" s="6"/>
    </row>
    <row r="678" spans="1:85" ht="15.75" customHeight="1">
      <c r="A678" s="104" t="s">
        <v>819</v>
      </c>
      <c r="B678" s="103"/>
      <c r="C678" s="68" t="s">
        <v>110</v>
      </c>
      <c r="D678" s="193" t="s">
        <v>820</v>
      </c>
      <c r="E678" s="57">
        <v>0</v>
      </c>
      <c r="F678" s="57">
        <v>0</v>
      </c>
      <c r="G678" s="58">
        <f t="shared" si="3340"/>
        <v>0</v>
      </c>
      <c r="H678" s="99">
        <v>0</v>
      </c>
      <c r="I678" s="59">
        <f t="shared" si="3007"/>
        <v>0</v>
      </c>
      <c r="J678" s="59">
        <f t="shared" si="2705"/>
        <v>0</v>
      </c>
      <c r="K678" s="74">
        <v>4767.8999999999996</v>
      </c>
      <c r="L678" s="74">
        <v>0</v>
      </c>
      <c r="M678" s="74">
        <v>0</v>
      </c>
      <c r="N678" s="74">
        <v>0</v>
      </c>
      <c r="O678" s="61">
        <f t="shared" ref="O678:Q678" si="3484">AA678+AD678+AG678+AJ678+AM678+AP678+AS678+AV678+AY678+BB678+BE678+BH678</f>
        <v>4767.8999999999996</v>
      </c>
      <c r="P678" s="61">
        <f t="shared" si="3484"/>
        <v>0</v>
      </c>
      <c r="Q678" s="61">
        <f t="shared" si="3484"/>
        <v>0</v>
      </c>
      <c r="R678" s="61">
        <f t="shared" ref="R678:T678" si="3485">IF(BK678=0,SUM(AA678+AD678+AG678+AJ678+AM678+AP678+AS678+AV678+AY678+BB678+BE678+BH678),BK678)</f>
        <v>4767.8999999999996</v>
      </c>
      <c r="S678" s="61">
        <f t="shared" si="3485"/>
        <v>0</v>
      </c>
      <c r="T678" s="61">
        <f t="shared" si="3485"/>
        <v>0</v>
      </c>
      <c r="U678" s="63">
        <f t="shared" si="3343"/>
        <v>0</v>
      </c>
      <c r="V678" s="63">
        <f t="shared" si="3344"/>
        <v>0</v>
      </c>
      <c r="W678" s="63">
        <f t="shared" si="3345"/>
        <v>0</v>
      </c>
      <c r="X678" s="64">
        <f t="shared" ref="X678:Y678" si="3486">IF(O678&gt;0,O678/K678,0)</f>
        <v>1</v>
      </c>
      <c r="Y678" s="64">
        <f t="shared" si="3486"/>
        <v>0</v>
      </c>
      <c r="Z678" s="64">
        <f t="shared" si="3262"/>
        <v>0</v>
      </c>
      <c r="AA678" s="65"/>
      <c r="AB678" s="65"/>
      <c r="AC678" s="65"/>
      <c r="AD678" s="65"/>
      <c r="AE678" s="66"/>
      <c r="AF678" s="66"/>
      <c r="AG678" s="66"/>
      <c r="AH678" s="66"/>
      <c r="AI678" s="65"/>
      <c r="AJ678" s="65"/>
      <c r="AK678" s="65"/>
      <c r="AL678" s="65"/>
      <c r="AM678" s="65"/>
      <c r="AN678" s="65"/>
      <c r="AO678" s="65"/>
      <c r="AP678" s="100">
        <v>4767.8999999999996</v>
      </c>
      <c r="AQ678" s="65"/>
      <c r="AR678" s="65"/>
      <c r="AS678" s="65"/>
      <c r="AT678" s="65"/>
      <c r="AU678" s="65"/>
      <c r="AV678" s="65"/>
      <c r="AW678" s="65"/>
      <c r="AX678" s="65"/>
      <c r="AY678" s="65"/>
      <c r="AZ678" s="65"/>
      <c r="BA678" s="65"/>
      <c r="BB678" s="65"/>
      <c r="BC678" s="65"/>
      <c r="BD678" s="65"/>
      <c r="BE678" s="65"/>
      <c r="BF678" s="65"/>
      <c r="BG678" s="65"/>
      <c r="BH678" s="65"/>
      <c r="BI678" s="65"/>
      <c r="BJ678" s="65"/>
      <c r="BK678" s="65">
        <v>0</v>
      </c>
      <c r="BL678" s="65">
        <v>0</v>
      </c>
      <c r="BM678" s="65">
        <v>0</v>
      </c>
      <c r="BN678" s="65">
        <f t="shared" si="3459"/>
        <v>4767.8999999999996</v>
      </c>
      <c r="BO678" s="67">
        <f t="shared" si="3460"/>
        <v>0</v>
      </c>
      <c r="BP678" s="65">
        <f t="shared" si="3461"/>
        <v>4767.8999999999996</v>
      </c>
      <c r="BQ678" s="65">
        <f t="shared" si="3462"/>
        <v>0</v>
      </c>
      <c r="BR678" s="65">
        <f t="shared" si="3463"/>
        <v>0</v>
      </c>
      <c r="BS678" s="65">
        <f t="shared" si="3464"/>
        <v>0</v>
      </c>
      <c r="BT678" s="65">
        <f t="shared" si="3465"/>
        <v>0</v>
      </c>
      <c r="BU678" s="65">
        <f t="shared" si="3466"/>
        <v>4767.8999999999996</v>
      </c>
      <c r="BV678" s="65">
        <f t="shared" si="3467"/>
        <v>0</v>
      </c>
      <c r="BW678" s="65">
        <f t="shared" si="3468"/>
        <v>4767.8999999999996</v>
      </c>
      <c r="BX678" s="6"/>
      <c r="BY678" s="6"/>
      <c r="BZ678" s="6"/>
      <c r="CA678" s="6"/>
      <c r="CB678" s="6"/>
      <c r="CC678" s="6"/>
      <c r="CD678" s="6"/>
      <c r="CE678" s="6"/>
      <c r="CF678" s="6"/>
      <c r="CG678" s="6"/>
    </row>
    <row r="679" spans="1:85" ht="15.75" customHeight="1">
      <c r="A679" s="68"/>
      <c r="B679" s="103"/>
      <c r="C679" s="68" t="s">
        <v>113</v>
      </c>
      <c r="D679" s="70" t="s">
        <v>821</v>
      </c>
      <c r="E679" s="56">
        <v>25000</v>
      </c>
      <c r="F679" s="99">
        <v>0</v>
      </c>
      <c r="G679" s="58">
        <f t="shared" si="3340"/>
        <v>25000</v>
      </c>
      <c r="H679" s="99">
        <v>0</v>
      </c>
      <c r="I679" s="59">
        <f t="shared" si="3007"/>
        <v>0</v>
      </c>
      <c r="J679" s="59">
        <f t="shared" si="2705"/>
        <v>0</v>
      </c>
      <c r="K679" s="74">
        <v>0</v>
      </c>
      <c r="L679" s="74">
        <v>0</v>
      </c>
      <c r="M679" s="74">
        <v>0</v>
      </c>
      <c r="N679" s="74">
        <v>0</v>
      </c>
      <c r="O679" s="61">
        <f t="shared" ref="O679:Q679" si="3487">AA679+AD679+AG679+AJ679+AM679+AP679+AS679+AV679+AY679+BB679+BE679+BH679</f>
        <v>0</v>
      </c>
      <c r="P679" s="61">
        <f t="shared" si="3487"/>
        <v>0</v>
      </c>
      <c r="Q679" s="61">
        <f t="shared" si="3487"/>
        <v>0</v>
      </c>
      <c r="R679" s="61">
        <f t="shared" ref="R679:T679" si="3488">IF(BK679=0,SUM(AA679+AD679+AG679+AJ679+AM679+AP679+AS679+AV679+AY679+BB679+BE679+BH679),BK679)</f>
        <v>0</v>
      </c>
      <c r="S679" s="61">
        <f t="shared" si="3488"/>
        <v>0</v>
      </c>
      <c r="T679" s="61">
        <f t="shared" si="3488"/>
        <v>0</v>
      </c>
      <c r="U679" s="63">
        <f t="shared" si="3343"/>
        <v>0</v>
      </c>
      <c r="V679" s="63">
        <f t="shared" si="3344"/>
        <v>0</v>
      </c>
      <c r="W679" s="63">
        <f t="shared" si="3345"/>
        <v>0</v>
      </c>
      <c r="X679" s="64">
        <f t="shared" ref="X679:Y679" si="3489">IF(O679&gt;0,O679/K679,0)</f>
        <v>0</v>
      </c>
      <c r="Y679" s="64">
        <f t="shared" si="3489"/>
        <v>0</v>
      </c>
      <c r="Z679" s="64">
        <f t="shared" si="3262"/>
        <v>0</v>
      </c>
      <c r="AA679" s="65"/>
      <c r="AB679" s="65"/>
      <c r="AC679" s="65"/>
      <c r="AD679" s="65"/>
      <c r="AE679" s="66"/>
      <c r="AF679" s="66"/>
      <c r="AG679" s="66"/>
      <c r="AH679" s="66"/>
      <c r="AI679" s="65"/>
      <c r="AJ679" s="65"/>
      <c r="AK679" s="65"/>
      <c r="AL679" s="65"/>
      <c r="AM679" s="65"/>
      <c r="AN679" s="65"/>
      <c r="AO679" s="65"/>
      <c r="AP679" s="65"/>
      <c r="AQ679" s="65"/>
      <c r="AR679" s="65"/>
      <c r="AS679" s="65"/>
      <c r="AT679" s="65"/>
      <c r="AU679" s="65"/>
      <c r="AV679" s="65"/>
      <c r="AW679" s="65"/>
      <c r="AX679" s="65"/>
      <c r="AY679" s="65"/>
      <c r="AZ679" s="65"/>
      <c r="BA679" s="65"/>
      <c r="BB679" s="65"/>
      <c r="BC679" s="65"/>
      <c r="BD679" s="65"/>
      <c r="BE679" s="65"/>
      <c r="BF679" s="65"/>
      <c r="BG679" s="65"/>
      <c r="BH679" s="65"/>
      <c r="BI679" s="65"/>
      <c r="BJ679" s="65"/>
      <c r="BK679" s="65">
        <v>0</v>
      </c>
      <c r="BL679" s="65">
        <v>0</v>
      </c>
      <c r="BM679" s="65">
        <v>0</v>
      </c>
      <c r="BN679" s="65">
        <f t="shared" si="3459"/>
        <v>0</v>
      </c>
      <c r="BO679" s="67">
        <f t="shared" si="3460"/>
        <v>0</v>
      </c>
      <c r="BP679" s="65">
        <f t="shared" si="3461"/>
        <v>0</v>
      </c>
      <c r="BQ679" s="65">
        <f t="shared" si="3462"/>
        <v>0</v>
      </c>
      <c r="BR679" s="65">
        <f t="shared" si="3463"/>
        <v>0</v>
      </c>
      <c r="BS679" s="65">
        <f t="shared" si="3464"/>
        <v>0</v>
      </c>
      <c r="BT679" s="65">
        <f t="shared" si="3465"/>
        <v>0</v>
      </c>
      <c r="BU679" s="65">
        <f t="shared" si="3466"/>
        <v>0</v>
      </c>
      <c r="BV679" s="65">
        <f t="shared" si="3467"/>
        <v>0</v>
      </c>
      <c r="BW679" s="65">
        <f t="shared" si="3468"/>
        <v>0</v>
      </c>
      <c r="BX679" s="6"/>
      <c r="BY679" s="6"/>
      <c r="BZ679" s="6"/>
      <c r="CA679" s="6"/>
      <c r="CB679" s="6"/>
      <c r="CC679" s="6"/>
      <c r="CD679" s="6"/>
      <c r="CE679" s="6"/>
      <c r="CF679" s="6"/>
      <c r="CG679" s="6"/>
    </row>
    <row r="680" spans="1:85" ht="15.75" customHeight="1">
      <c r="A680" s="68"/>
      <c r="B680" s="103"/>
      <c r="C680" s="68" t="s">
        <v>127</v>
      </c>
      <c r="D680" s="122" t="s">
        <v>393</v>
      </c>
      <c r="E680" s="56">
        <v>1000</v>
      </c>
      <c r="F680" s="99">
        <v>0</v>
      </c>
      <c r="G680" s="58">
        <f t="shared" si="3340"/>
        <v>1000</v>
      </c>
      <c r="H680" s="99">
        <v>0</v>
      </c>
      <c r="I680" s="59">
        <f t="shared" si="3007"/>
        <v>0</v>
      </c>
      <c r="J680" s="59">
        <f t="shared" si="2705"/>
        <v>0</v>
      </c>
      <c r="K680" s="74">
        <v>0</v>
      </c>
      <c r="L680" s="74">
        <v>0</v>
      </c>
      <c r="M680" s="74">
        <v>0</v>
      </c>
      <c r="N680" s="74">
        <v>0</v>
      </c>
      <c r="O680" s="61">
        <f t="shared" ref="O680:Q680" si="3490">AA680+AD680+AG680+AJ680+AM680+AP680+AS680+AV680+AY680+BB680+BE680+BH680</f>
        <v>0</v>
      </c>
      <c r="P680" s="61">
        <f t="shared" si="3490"/>
        <v>0</v>
      </c>
      <c r="Q680" s="61">
        <f t="shared" si="3490"/>
        <v>0</v>
      </c>
      <c r="R680" s="61">
        <f t="shared" ref="R680:T680" si="3491">IF(BK680=0,SUM(AA680+AD680+AG680+AJ680+AM680+AP680+AS680+AV680+AY680+BB680+BE680+BH680),BK680)</f>
        <v>0</v>
      </c>
      <c r="S680" s="61">
        <f t="shared" si="3491"/>
        <v>0</v>
      </c>
      <c r="T680" s="61">
        <f t="shared" si="3491"/>
        <v>0</v>
      </c>
      <c r="U680" s="63">
        <f t="shared" si="3343"/>
        <v>0</v>
      </c>
      <c r="V680" s="63">
        <f t="shared" si="3344"/>
        <v>0</v>
      </c>
      <c r="W680" s="63">
        <f t="shared" si="3345"/>
        <v>0</v>
      </c>
      <c r="X680" s="64">
        <f t="shared" ref="X680:Y680" si="3492">IF(O680&gt;0,O680/K680,0)</f>
        <v>0</v>
      </c>
      <c r="Y680" s="64">
        <f t="shared" si="3492"/>
        <v>0</v>
      </c>
      <c r="Z680" s="64">
        <f t="shared" si="3262"/>
        <v>0</v>
      </c>
      <c r="AA680" s="65"/>
      <c r="AB680" s="65"/>
      <c r="AC680" s="65"/>
      <c r="AD680" s="65"/>
      <c r="AE680" s="66"/>
      <c r="AF680" s="66"/>
      <c r="AG680" s="66"/>
      <c r="AH680" s="66"/>
      <c r="AI680" s="65"/>
      <c r="AJ680" s="65"/>
      <c r="AK680" s="65"/>
      <c r="AL680" s="65"/>
      <c r="AM680" s="65"/>
      <c r="AN680" s="65"/>
      <c r="AO680" s="65"/>
      <c r="AP680" s="65"/>
      <c r="AQ680" s="65"/>
      <c r="AR680" s="65"/>
      <c r="AS680" s="65"/>
      <c r="AT680" s="65"/>
      <c r="AU680" s="65"/>
      <c r="AV680" s="65"/>
      <c r="AW680" s="65"/>
      <c r="AX680" s="65"/>
      <c r="AY680" s="65"/>
      <c r="AZ680" s="65"/>
      <c r="BA680" s="65"/>
      <c r="BB680" s="65"/>
      <c r="BC680" s="65"/>
      <c r="BD680" s="65"/>
      <c r="BE680" s="65"/>
      <c r="BF680" s="65"/>
      <c r="BG680" s="65"/>
      <c r="BH680" s="65"/>
      <c r="BI680" s="65"/>
      <c r="BJ680" s="65"/>
      <c r="BK680" s="65">
        <v>0</v>
      </c>
      <c r="BL680" s="65">
        <v>0</v>
      </c>
      <c r="BM680" s="65">
        <v>0</v>
      </c>
      <c r="BN680" s="65">
        <f t="shared" si="3459"/>
        <v>0</v>
      </c>
      <c r="BO680" s="67">
        <f t="shared" si="3460"/>
        <v>0</v>
      </c>
      <c r="BP680" s="65">
        <f t="shared" si="3461"/>
        <v>0</v>
      </c>
      <c r="BQ680" s="65">
        <f t="shared" si="3462"/>
        <v>0</v>
      </c>
      <c r="BR680" s="65">
        <f t="shared" si="3463"/>
        <v>0</v>
      </c>
      <c r="BS680" s="65">
        <f t="shared" si="3464"/>
        <v>0</v>
      </c>
      <c r="BT680" s="65">
        <f t="shared" si="3465"/>
        <v>0</v>
      </c>
      <c r="BU680" s="65">
        <f t="shared" si="3466"/>
        <v>0</v>
      </c>
      <c r="BV680" s="65">
        <f t="shared" si="3467"/>
        <v>0</v>
      </c>
      <c r="BW680" s="65">
        <f t="shared" si="3468"/>
        <v>0</v>
      </c>
      <c r="BX680" s="6"/>
      <c r="BY680" s="6"/>
      <c r="BZ680" s="6"/>
      <c r="CA680" s="6"/>
      <c r="CB680" s="6"/>
      <c r="CC680" s="6"/>
      <c r="CD680" s="6"/>
      <c r="CE680" s="6"/>
      <c r="CF680" s="6"/>
      <c r="CG680" s="6"/>
    </row>
    <row r="681" spans="1:85" ht="15.75" customHeight="1">
      <c r="A681" s="104" t="s">
        <v>822</v>
      </c>
      <c r="B681" s="103"/>
      <c r="C681" s="68" t="s">
        <v>129</v>
      </c>
      <c r="D681" s="124" t="s">
        <v>823</v>
      </c>
      <c r="E681" s="56">
        <v>500</v>
      </c>
      <c r="F681" s="99">
        <v>0</v>
      </c>
      <c r="G681" s="58">
        <f t="shared" si="3340"/>
        <v>500</v>
      </c>
      <c r="H681" s="99">
        <v>0</v>
      </c>
      <c r="I681" s="59">
        <f t="shared" si="3007"/>
        <v>0.748</v>
      </c>
      <c r="J681" s="59">
        <f t="shared" si="2705"/>
        <v>0.748</v>
      </c>
      <c r="K681" s="74">
        <v>374</v>
      </c>
      <c r="L681" s="74">
        <v>0</v>
      </c>
      <c r="M681" s="74">
        <v>0</v>
      </c>
      <c r="N681" s="74">
        <v>0</v>
      </c>
      <c r="O681" s="61">
        <f t="shared" ref="O681:Q681" si="3493">AA681+AD681+AG681+AJ681+AM681+AP681+AS681+AV681+AY681+BB681+BE681+BH681</f>
        <v>374</v>
      </c>
      <c r="P681" s="61">
        <f t="shared" si="3493"/>
        <v>0</v>
      </c>
      <c r="Q681" s="61">
        <f t="shared" si="3493"/>
        <v>0</v>
      </c>
      <c r="R681" s="61">
        <f t="shared" ref="R681:T681" si="3494">IF(BK681=0,SUM(AA681+AD681+AG681+AJ681+AM681+AP681+AS681+AV681+AY681+BB681+BE681+BH681),BK681)</f>
        <v>374</v>
      </c>
      <c r="S681" s="61">
        <f t="shared" si="3494"/>
        <v>0</v>
      </c>
      <c r="T681" s="61">
        <f t="shared" si="3494"/>
        <v>0</v>
      </c>
      <c r="U681" s="63">
        <f t="shared" si="3343"/>
        <v>0</v>
      </c>
      <c r="V681" s="63">
        <f t="shared" si="3344"/>
        <v>0</v>
      </c>
      <c r="W681" s="63">
        <f t="shared" si="3345"/>
        <v>0</v>
      </c>
      <c r="X681" s="64">
        <f t="shared" ref="X681:Y681" si="3495">IF(O681&gt;0,O681/K681,0)</f>
        <v>1</v>
      </c>
      <c r="Y681" s="64">
        <f t="shared" si="3495"/>
        <v>0</v>
      </c>
      <c r="Z681" s="64">
        <f t="shared" si="3262"/>
        <v>0</v>
      </c>
      <c r="AA681" s="65"/>
      <c r="AB681" s="65"/>
      <c r="AC681" s="65"/>
      <c r="AD681" s="65"/>
      <c r="AE681" s="66"/>
      <c r="AF681" s="66"/>
      <c r="AG681" s="66"/>
      <c r="AH681" s="66"/>
      <c r="AI681" s="65"/>
      <c r="AJ681" s="65"/>
      <c r="AK681" s="65"/>
      <c r="AL681" s="65"/>
      <c r="AM681" s="65"/>
      <c r="AN681" s="65"/>
      <c r="AO681" s="65"/>
      <c r="AP681" s="100">
        <v>374</v>
      </c>
      <c r="AQ681" s="65"/>
      <c r="AR681" s="65"/>
      <c r="AS681" s="65"/>
      <c r="AT681" s="65"/>
      <c r="AU681" s="65"/>
      <c r="AV681" s="65"/>
      <c r="AW681" s="65"/>
      <c r="AX681" s="65"/>
      <c r="AY681" s="65"/>
      <c r="AZ681" s="65"/>
      <c r="BA681" s="65"/>
      <c r="BB681" s="65"/>
      <c r="BC681" s="65"/>
      <c r="BD681" s="65"/>
      <c r="BE681" s="65"/>
      <c r="BF681" s="65"/>
      <c r="BG681" s="65"/>
      <c r="BH681" s="65"/>
      <c r="BI681" s="65"/>
      <c r="BJ681" s="65"/>
      <c r="BK681" s="65">
        <v>0</v>
      </c>
      <c r="BL681" s="65">
        <v>0</v>
      </c>
      <c r="BM681" s="65">
        <v>0</v>
      </c>
      <c r="BN681" s="65">
        <f t="shared" si="3459"/>
        <v>374</v>
      </c>
      <c r="BO681" s="67">
        <f t="shared" si="3460"/>
        <v>0</v>
      </c>
      <c r="BP681" s="65">
        <f t="shared" si="3461"/>
        <v>374</v>
      </c>
      <c r="BQ681" s="65">
        <f t="shared" si="3462"/>
        <v>0</v>
      </c>
      <c r="BR681" s="65">
        <f t="shared" si="3463"/>
        <v>0</v>
      </c>
      <c r="BS681" s="65">
        <f t="shared" si="3464"/>
        <v>0</v>
      </c>
      <c r="BT681" s="65">
        <f t="shared" si="3465"/>
        <v>0</v>
      </c>
      <c r="BU681" s="65">
        <f t="shared" si="3466"/>
        <v>374</v>
      </c>
      <c r="BV681" s="65">
        <f t="shared" si="3467"/>
        <v>0</v>
      </c>
      <c r="BW681" s="65">
        <f t="shared" si="3468"/>
        <v>374</v>
      </c>
      <c r="BX681" s="6"/>
      <c r="BY681" s="6"/>
      <c r="BZ681" s="6"/>
      <c r="CA681" s="6"/>
      <c r="CB681" s="6"/>
      <c r="CC681" s="6"/>
      <c r="CD681" s="6"/>
      <c r="CE681" s="6"/>
      <c r="CF681" s="6"/>
      <c r="CG681" s="6"/>
    </row>
    <row r="682" spans="1:85" ht="15.75" customHeight="1" outlineLevel="1">
      <c r="A682" s="104" t="s">
        <v>824</v>
      </c>
      <c r="B682" s="121"/>
      <c r="C682" s="68" t="s">
        <v>129</v>
      </c>
      <c r="D682" s="124" t="s">
        <v>825</v>
      </c>
      <c r="E682" s="57">
        <v>0</v>
      </c>
      <c r="F682" s="57">
        <v>0</v>
      </c>
      <c r="G682" s="58">
        <f t="shared" si="3340"/>
        <v>0</v>
      </c>
      <c r="H682" s="99">
        <v>0</v>
      </c>
      <c r="I682" s="59">
        <f t="shared" si="3007"/>
        <v>0</v>
      </c>
      <c r="J682" s="59">
        <f t="shared" si="2705"/>
        <v>0</v>
      </c>
      <c r="K682" s="74">
        <v>747</v>
      </c>
      <c r="L682" s="74">
        <v>0</v>
      </c>
      <c r="M682" s="74">
        <v>0</v>
      </c>
      <c r="N682" s="74">
        <v>0</v>
      </c>
      <c r="O682" s="61">
        <f t="shared" ref="O682:Q682" si="3496">AA682+AD682+AG682+AJ682+AM682+AP682+AS682+AV682+AY682+BB682+BE682+BH682</f>
        <v>747</v>
      </c>
      <c r="P682" s="61">
        <f t="shared" si="3496"/>
        <v>0</v>
      </c>
      <c r="Q682" s="61">
        <f t="shared" si="3496"/>
        <v>0</v>
      </c>
      <c r="R682" s="61">
        <f t="shared" ref="R682:T682" si="3497">IF(BK682=0,SUM(AA682+AD682+AG682+AJ682+AM682+AP682+AS682+AV682+AY682+BB682+BE682+BH682),BK682)</f>
        <v>747</v>
      </c>
      <c r="S682" s="61">
        <f t="shared" si="3497"/>
        <v>0</v>
      </c>
      <c r="T682" s="61">
        <f t="shared" si="3497"/>
        <v>0</v>
      </c>
      <c r="U682" s="63">
        <f t="shared" si="3343"/>
        <v>0</v>
      </c>
      <c r="V682" s="63">
        <f t="shared" si="3344"/>
        <v>0</v>
      </c>
      <c r="W682" s="63">
        <f t="shared" si="3345"/>
        <v>0</v>
      </c>
      <c r="X682" s="64">
        <f t="shared" ref="X682:Y682" si="3498">IF(O682&gt;0,O682/K682,0)</f>
        <v>1</v>
      </c>
      <c r="Y682" s="64">
        <f t="shared" si="3498"/>
        <v>0</v>
      </c>
      <c r="Z682" s="64">
        <f t="shared" si="3262"/>
        <v>0</v>
      </c>
      <c r="AA682" s="65"/>
      <c r="AB682" s="65"/>
      <c r="AC682" s="65"/>
      <c r="AD682" s="65"/>
      <c r="AE682" s="113"/>
      <c r="AF682" s="66"/>
      <c r="AG682" s="66"/>
      <c r="AH682" s="66"/>
      <c r="AI682" s="65"/>
      <c r="AJ682" s="65"/>
      <c r="AK682" s="65"/>
      <c r="AL682" s="65"/>
      <c r="AM682" s="65"/>
      <c r="AN682" s="65"/>
      <c r="AO682" s="65"/>
      <c r="AP682" s="100">
        <v>747</v>
      </c>
      <c r="AQ682" s="65"/>
      <c r="AR682" s="65"/>
      <c r="AS682" s="65"/>
      <c r="AT682" s="65"/>
      <c r="AU682" s="65"/>
      <c r="AV682" s="65"/>
      <c r="AW682" s="65"/>
      <c r="AX682" s="65"/>
      <c r="AY682" s="65"/>
      <c r="AZ682" s="65"/>
      <c r="BA682" s="65"/>
      <c r="BB682" s="65"/>
      <c r="BC682" s="65"/>
      <c r="BD682" s="65"/>
      <c r="BE682" s="65"/>
      <c r="BF682" s="65"/>
      <c r="BG682" s="65"/>
      <c r="BH682" s="65"/>
      <c r="BI682" s="65"/>
      <c r="BJ682" s="65"/>
      <c r="BK682" s="65">
        <v>0</v>
      </c>
      <c r="BL682" s="65">
        <v>0</v>
      </c>
      <c r="BM682" s="65">
        <v>0</v>
      </c>
      <c r="BN682" s="65">
        <f t="shared" si="3459"/>
        <v>747</v>
      </c>
      <c r="BO682" s="67">
        <f t="shared" si="3460"/>
        <v>0</v>
      </c>
      <c r="BP682" s="65">
        <f t="shared" si="3461"/>
        <v>747</v>
      </c>
      <c r="BQ682" s="65">
        <f t="shared" si="3462"/>
        <v>0</v>
      </c>
      <c r="BR682" s="65">
        <f t="shared" si="3463"/>
        <v>0</v>
      </c>
      <c r="BS682" s="65">
        <f t="shared" si="3464"/>
        <v>0</v>
      </c>
      <c r="BT682" s="65">
        <f t="shared" si="3465"/>
        <v>0</v>
      </c>
      <c r="BU682" s="65">
        <f t="shared" si="3466"/>
        <v>747</v>
      </c>
      <c r="BV682" s="65">
        <f t="shared" si="3467"/>
        <v>0</v>
      </c>
      <c r="BW682" s="65">
        <f t="shared" si="3468"/>
        <v>747</v>
      </c>
      <c r="BX682" s="6"/>
      <c r="BY682" s="6"/>
      <c r="BZ682" s="6"/>
      <c r="CA682" s="6"/>
      <c r="CB682" s="6"/>
      <c r="CC682" s="6"/>
      <c r="CD682" s="6"/>
      <c r="CE682" s="6"/>
      <c r="CF682" s="6"/>
      <c r="CG682" s="6"/>
    </row>
    <row r="683" spans="1:85" ht="15.75" customHeight="1" outlineLevel="1">
      <c r="A683" s="104" t="s">
        <v>826</v>
      </c>
      <c r="B683" s="121"/>
      <c r="C683" s="68" t="s">
        <v>129</v>
      </c>
      <c r="D683" s="124" t="s">
        <v>827</v>
      </c>
      <c r="E683" s="57">
        <v>0</v>
      </c>
      <c r="F683" s="57">
        <v>0</v>
      </c>
      <c r="G683" s="58">
        <f t="shared" si="3340"/>
        <v>0</v>
      </c>
      <c r="H683" s="99">
        <v>0</v>
      </c>
      <c r="I683" s="59">
        <f t="shared" si="3007"/>
        <v>0</v>
      </c>
      <c r="J683" s="59">
        <f t="shared" si="2705"/>
        <v>0</v>
      </c>
      <c r="K683" s="74">
        <v>1517.5</v>
      </c>
      <c r="L683" s="74">
        <v>0</v>
      </c>
      <c r="M683" s="74">
        <v>0</v>
      </c>
      <c r="N683" s="74">
        <v>0</v>
      </c>
      <c r="O683" s="61">
        <f t="shared" ref="O683:Q683" si="3499">AA683+AD683+AG683+AJ683+AM683+AP683+AS683+AV683+AY683+BB683+BE683+BH683</f>
        <v>1517.5</v>
      </c>
      <c r="P683" s="61">
        <f t="shared" si="3499"/>
        <v>0</v>
      </c>
      <c r="Q683" s="61">
        <f t="shared" si="3499"/>
        <v>0</v>
      </c>
      <c r="R683" s="61">
        <f t="shared" ref="R683:T683" si="3500">IF(BK683=0,SUM(AA683+AD683+AG683+AJ683+AM683+AP683+AS683+AV683+AY683+BB683+BE683+BH683),BK683)</f>
        <v>1517.5</v>
      </c>
      <c r="S683" s="61">
        <f t="shared" si="3500"/>
        <v>0</v>
      </c>
      <c r="T683" s="61">
        <f t="shared" si="3500"/>
        <v>0</v>
      </c>
      <c r="U683" s="63">
        <f t="shared" si="3343"/>
        <v>0</v>
      </c>
      <c r="V683" s="63">
        <f t="shared" si="3344"/>
        <v>0</v>
      </c>
      <c r="W683" s="63">
        <f t="shared" si="3345"/>
        <v>0</v>
      </c>
      <c r="X683" s="64">
        <f t="shared" ref="X683:Y683" si="3501">IF(O683&gt;0,O683/K683,0)</f>
        <v>1</v>
      </c>
      <c r="Y683" s="64">
        <f t="shared" si="3501"/>
        <v>0</v>
      </c>
      <c r="Z683" s="64">
        <f t="shared" si="3262"/>
        <v>0</v>
      </c>
      <c r="AA683" s="65"/>
      <c r="AB683" s="65"/>
      <c r="AC683" s="65"/>
      <c r="AD683" s="65"/>
      <c r="AE683" s="113"/>
      <c r="AF683" s="66"/>
      <c r="AG683" s="66"/>
      <c r="AH683" s="66"/>
      <c r="AI683" s="65"/>
      <c r="AJ683" s="65"/>
      <c r="AK683" s="65"/>
      <c r="AL683" s="65"/>
      <c r="AM683" s="65"/>
      <c r="AN683" s="65"/>
      <c r="AO683" s="65"/>
      <c r="AP683" s="100">
        <v>1517.5</v>
      </c>
      <c r="AQ683" s="65"/>
      <c r="AR683" s="65"/>
      <c r="AS683" s="65"/>
      <c r="AT683" s="65"/>
      <c r="AU683" s="65"/>
      <c r="AV683" s="65"/>
      <c r="AW683" s="65"/>
      <c r="AX683" s="65"/>
      <c r="AY683" s="65"/>
      <c r="AZ683" s="65"/>
      <c r="BA683" s="65"/>
      <c r="BB683" s="65"/>
      <c r="BC683" s="65"/>
      <c r="BD683" s="65"/>
      <c r="BE683" s="65"/>
      <c r="BF683" s="65"/>
      <c r="BG683" s="65"/>
      <c r="BH683" s="65"/>
      <c r="BI683" s="65"/>
      <c r="BJ683" s="65"/>
      <c r="BK683" s="65">
        <v>0</v>
      </c>
      <c r="BL683" s="65">
        <v>0</v>
      </c>
      <c r="BM683" s="65">
        <v>0</v>
      </c>
      <c r="BN683" s="65">
        <f t="shared" si="3459"/>
        <v>1517.5</v>
      </c>
      <c r="BO683" s="67">
        <f t="shared" si="3460"/>
        <v>0</v>
      </c>
      <c r="BP683" s="65">
        <f t="shared" si="3461"/>
        <v>1517.5</v>
      </c>
      <c r="BQ683" s="65">
        <f t="shared" si="3462"/>
        <v>0</v>
      </c>
      <c r="BR683" s="65">
        <f t="shared" si="3463"/>
        <v>0</v>
      </c>
      <c r="BS683" s="65">
        <f t="shared" si="3464"/>
        <v>0</v>
      </c>
      <c r="BT683" s="65">
        <f t="shared" si="3465"/>
        <v>0</v>
      </c>
      <c r="BU683" s="65">
        <f t="shared" si="3466"/>
        <v>1517.5</v>
      </c>
      <c r="BV683" s="65">
        <f t="shared" si="3467"/>
        <v>0</v>
      </c>
      <c r="BW683" s="65">
        <f t="shared" si="3468"/>
        <v>1517.5</v>
      </c>
      <c r="BX683" s="6"/>
      <c r="BY683" s="6"/>
      <c r="BZ683" s="6"/>
      <c r="CA683" s="6"/>
      <c r="CB683" s="6"/>
      <c r="CC683" s="6"/>
      <c r="CD683" s="6"/>
      <c r="CE683" s="6"/>
      <c r="CF683" s="6"/>
      <c r="CG683" s="6"/>
    </row>
    <row r="684" spans="1:85" ht="15.75" customHeight="1" outlineLevel="1">
      <c r="A684" s="104" t="s">
        <v>828</v>
      </c>
      <c r="B684" s="121"/>
      <c r="C684" s="68" t="s">
        <v>129</v>
      </c>
      <c r="D684" s="124" t="s">
        <v>829</v>
      </c>
      <c r="E684" s="57">
        <v>0</v>
      </c>
      <c r="F684" s="57">
        <v>0</v>
      </c>
      <c r="G684" s="58">
        <f t="shared" si="3340"/>
        <v>0</v>
      </c>
      <c r="H684" s="99">
        <v>0</v>
      </c>
      <c r="I684" s="59">
        <f t="shared" si="3007"/>
        <v>0</v>
      </c>
      <c r="J684" s="59">
        <f t="shared" si="2705"/>
        <v>0</v>
      </c>
      <c r="K684" s="74">
        <v>607.5</v>
      </c>
      <c r="L684" s="74">
        <v>0</v>
      </c>
      <c r="M684" s="74">
        <v>0</v>
      </c>
      <c r="N684" s="74">
        <v>0</v>
      </c>
      <c r="O684" s="61">
        <f t="shared" ref="O684:Q684" si="3502">AA684+AD684+AG684+AJ684+AM684+AP684+AS684+AV684+AY684+BB684+BE684+BH684</f>
        <v>0</v>
      </c>
      <c r="P684" s="61">
        <f t="shared" si="3502"/>
        <v>0</v>
      </c>
      <c r="Q684" s="61">
        <f t="shared" si="3502"/>
        <v>0</v>
      </c>
      <c r="R684" s="61">
        <f t="shared" ref="R684:T684" si="3503">IF(BK684=0,SUM(AA684+AD684+AG684+AJ684+AM684+AP684+AS684+AV684+AY684+BB684+BE684+BH684),BK684)</f>
        <v>0</v>
      </c>
      <c r="S684" s="61">
        <f t="shared" si="3503"/>
        <v>0</v>
      </c>
      <c r="T684" s="61">
        <f t="shared" si="3503"/>
        <v>0</v>
      </c>
      <c r="U684" s="62">
        <f t="shared" si="3343"/>
        <v>607.5</v>
      </c>
      <c r="V684" s="63">
        <f t="shared" si="3344"/>
        <v>0</v>
      </c>
      <c r="W684" s="63">
        <f t="shared" si="3345"/>
        <v>0</v>
      </c>
      <c r="X684" s="64"/>
      <c r="Y684" s="64"/>
      <c r="Z684" s="64"/>
      <c r="AA684" s="65"/>
      <c r="AB684" s="65"/>
      <c r="AC684" s="65"/>
      <c r="AD684" s="65"/>
      <c r="AE684" s="113"/>
      <c r="AF684" s="66"/>
      <c r="AG684" s="66"/>
      <c r="AH684" s="66"/>
      <c r="AI684" s="65"/>
      <c r="AJ684" s="65"/>
      <c r="AK684" s="65"/>
      <c r="AL684" s="65"/>
      <c r="AM684" s="65"/>
      <c r="AN684" s="65"/>
      <c r="AO684" s="65"/>
      <c r="AP684" s="100"/>
      <c r="AQ684" s="65"/>
      <c r="AR684" s="65"/>
      <c r="AS684" s="65"/>
      <c r="AT684" s="65"/>
      <c r="AU684" s="65"/>
      <c r="AV684" s="65"/>
      <c r="AW684" s="65"/>
      <c r="AX684" s="65"/>
      <c r="AY684" s="65"/>
      <c r="AZ684" s="65"/>
      <c r="BA684" s="65"/>
      <c r="BB684" s="65"/>
      <c r="BC684" s="65"/>
      <c r="BD684" s="65"/>
      <c r="BE684" s="65"/>
      <c r="BF684" s="65"/>
      <c r="BG684" s="65"/>
      <c r="BH684" s="65"/>
      <c r="BI684" s="65"/>
      <c r="BJ684" s="65"/>
      <c r="BK684" s="65">
        <v>0</v>
      </c>
      <c r="BL684" s="65">
        <v>0</v>
      </c>
      <c r="BM684" s="65">
        <v>0</v>
      </c>
      <c r="BN684" s="65">
        <f t="shared" si="3459"/>
        <v>0</v>
      </c>
      <c r="BO684" s="67">
        <f t="shared" si="3460"/>
        <v>0</v>
      </c>
      <c r="BP684" s="65">
        <f t="shared" si="3461"/>
        <v>0</v>
      </c>
      <c r="BQ684" s="65">
        <f t="shared" si="3462"/>
        <v>607.5</v>
      </c>
      <c r="BR684" s="65">
        <f t="shared" si="3463"/>
        <v>0</v>
      </c>
      <c r="BS684" s="65">
        <f t="shared" si="3464"/>
        <v>607.5</v>
      </c>
      <c r="BT684" s="65">
        <f t="shared" si="3465"/>
        <v>0</v>
      </c>
      <c r="BU684" s="65">
        <f t="shared" si="3466"/>
        <v>0</v>
      </c>
      <c r="BV684" s="65">
        <f t="shared" si="3467"/>
        <v>607.5</v>
      </c>
      <c r="BW684" s="65">
        <f t="shared" si="3468"/>
        <v>607.5</v>
      </c>
      <c r="BX684" s="6"/>
      <c r="BY684" s="6"/>
      <c r="BZ684" s="6"/>
      <c r="CA684" s="6"/>
      <c r="CB684" s="6"/>
      <c r="CC684" s="6"/>
      <c r="CD684" s="6"/>
      <c r="CE684" s="6"/>
      <c r="CF684" s="6"/>
      <c r="CG684" s="6"/>
    </row>
    <row r="685" spans="1:85" ht="15.75" customHeight="1" outlineLevel="1">
      <c r="A685" s="104" t="s">
        <v>830</v>
      </c>
      <c r="B685" s="121"/>
      <c r="C685" s="68" t="s">
        <v>129</v>
      </c>
      <c r="D685" s="124" t="s">
        <v>831</v>
      </c>
      <c r="E685" s="57">
        <v>0</v>
      </c>
      <c r="F685" s="57">
        <v>0</v>
      </c>
      <c r="G685" s="58">
        <f t="shared" si="3340"/>
        <v>0</v>
      </c>
      <c r="H685" s="99">
        <v>0</v>
      </c>
      <c r="I685" s="59">
        <f t="shared" si="3007"/>
        <v>0</v>
      </c>
      <c r="J685" s="59">
        <f t="shared" si="2705"/>
        <v>0</v>
      </c>
      <c r="K685" s="74">
        <v>948.5</v>
      </c>
      <c r="L685" s="74">
        <v>0</v>
      </c>
      <c r="M685" s="74">
        <v>0</v>
      </c>
      <c r="N685" s="74">
        <v>0</v>
      </c>
      <c r="O685" s="61">
        <f t="shared" ref="O685:Q685" si="3504">AA685+AD685+AG685+AJ685+AM685+AP685+AS685+AV685+AY685+BB685+BE685+BH685</f>
        <v>0</v>
      </c>
      <c r="P685" s="61">
        <f t="shared" si="3504"/>
        <v>0</v>
      </c>
      <c r="Q685" s="61">
        <f t="shared" si="3504"/>
        <v>0</v>
      </c>
      <c r="R685" s="61">
        <f t="shared" ref="R685:T685" si="3505">IF(BK685=0,SUM(AA685+AD685+AG685+AJ685+AM685+AP685+AS685+AV685+AY685+BB685+BE685+BH685),BK685)</f>
        <v>0</v>
      </c>
      <c r="S685" s="61">
        <f t="shared" si="3505"/>
        <v>0</v>
      </c>
      <c r="T685" s="61">
        <f t="shared" si="3505"/>
        <v>0</v>
      </c>
      <c r="U685" s="62">
        <f t="shared" si="3343"/>
        <v>948.5</v>
      </c>
      <c r="V685" s="63">
        <f t="shared" si="3344"/>
        <v>0</v>
      </c>
      <c r="W685" s="63">
        <f t="shared" si="3345"/>
        <v>0</v>
      </c>
      <c r="X685" s="64"/>
      <c r="Y685" s="64"/>
      <c r="Z685" s="64"/>
      <c r="AA685" s="65"/>
      <c r="AB685" s="65"/>
      <c r="AC685" s="65"/>
      <c r="AD685" s="65"/>
      <c r="AE685" s="113"/>
      <c r="AF685" s="66"/>
      <c r="AG685" s="66"/>
      <c r="AH685" s="66"/>
      <c r="AI685" s="65"/>
      <c r="AJ685" s="65"/>
      <c r="AK685" s="65"/>
      <c r="AL685" s="65"/>
      <c r="AM685" s="65"/>
      <c r="AN685" s="65"/>
      <c r="AO685" s="65"/>
      <c r="AP685" s="100"/>
      <c r="AQ685" s="65"/>
      <c r="AR685" s="65"/>
      <c r="AS685" s="65"/>
      <c r="AT685" s="65"/>
      <c r="AU685" s="65"/>
      <c r="AV685" s="65"/>
      <c r="AW685" s="65"/>
      <c r="AX685" s="65"/>
      <c r="AY685" s="65"/>
      <c r="AZ685" s="65"/>
      <c r="BA685" s="65"/>
      <c r="BB685" s="65"/>
      <c r="BC685" s="65"/>
      <c r="BD685" s="65"/>
      <c r="BE685" s="65"/>
      <c r="BF685" s="65"/>
      <c r="BG685" s="65"/>
      <c r="BH685" s="65"/>
      <c r="BI685" s="65"/>
      <c r="BJ685" s="65"/>
      <c r="BK685" s="65">
        <v>0</v>
      </c>
      <c r="BL685" s="65">
        <v>0</v>
      </c>
      <c r="BM685" s="65">
        <v>0</v>
      </c>
      <c r="BN685" s="65">
        <f t="shared" si="3459"/>
        <v>0</v>
      </c>
      <c r="BO685" s="67">
        <f t="shared" si="3460"/>
        <v>0</v>
      </c>
      <c r="BP685" s="65">
        <f t="shared" si="3461"/>
        <v>0</v>
      </c>
      <c r="BQ685" s="65">
        <f t="shared" si="3462"/>
        <v>948.5</v>
      </c>
      <c r="BR685" s="65">
        <f t="shared" si="3463"/>
        <v>0</v>
      </c>
      <c r="BS685" s="65">
        <f t="shared" si="3464"/>
        <v>948.5</v>
      </c>
      <c r="BT685" s="65">
        <f t="shared" si="3465"/>
        <v>0</v>
      </c>
      <c r="BU685" s="65">
        <f t="shared" si="3466"/>
        <v>0</v>
      </c>
      <c r="BV685" s="65">
        <f t="shared" si="3467"/>
        <v>948.5</v>
      </c>
      <c r="BW685" s="65">
        <f t="shared" si="3468"/>
        <v>948.5</v>
      </c>
      <c r="BX685" s="6"/>
      <c r="BY685" s="6"/>
      <c r="BZ685" s="6"/>
      <c r="CA685" s="6"/>
      <c r="CB685" s="6"/>
      <c r="CC685" s="6"/>
      <c r="CD685" s="6"/>
      <c r="CE685" s="6"/>
      <c r="CF685" s="6"/>
      <c r="CG685" s="6"/>
    </row>
    <row r="686" spans="1:85" ht="15.75" customHeight="1" outlineLevel="1">
      <c r="A686" s="104" t="s">
        <v>832</v>
      </c>
      <c r="B686" s="121"/>
      <c r="C686" s="68" t="s">
        <v>129</v>
      </c>
      <c r="D686" s="124" t="s">
        <v>833</v>
      </c>
      <c r="E686" s="57">
        <v>0</v>
      </c>
      <c r="F686" s="57">
        <v>0</v>
      </c>
      <c r="G686" s="58">
        <f t="shared" si="3340"/>
        <v>0</v>
      </c>
      <c r="H686" s="99">
        <v>0</v>
      </c>
      <c r="I686" s="59">
        <f t="shared" si="3007"/>
        <v>0</v>
      </c>
      <c r="J686" s="59">
        <f t="shared" si="2705"/>
        <v>0</v>
      </c>
      <c r="K686" s="74">
        <v>650.20000000000005</v>
      </c>
      <c r="L686" s="74">
        <v>0</v>
      </c>
      <c r="M686" s="74">
        <v>0</v>
      </c>
      <c r="N686" s="74">
        <v>0</v>
      </c>
      <c r="O686" s="61">
        <f t="shared" ref="O686:Q686" si="3506">AA686+AD686+AG686+AJ686+AM686+AP686+AS686+AV686+AY686+BB686+BE686+BH686</f>
        <v>0</v>
      </c>
      <c r="P686" s="61">
        <f t="shared" si="3506"/>
        <v>0</v>
      </c>
      <c r="Q686" s="61">
        <f t="shared" si="3506"/>
        <v>0</v>
      </c>
      <c r="R686" s="61">
        <f t="shared" ref="R686:T686" si="3507">IF(BK686=0,SUM(AA686+AD686+AG686+AJ686+AM686+AP686+AS686+AV686+AY686+BB686+BE686+BH686),BK686)</f>
        <v>0</v>
      </c>
      <c r="S686" s="61">
        <f t="shared" si="3507"/>
        <v>0</v>
      </c>
      <c r="T686" s="61">
        <f t="shared" si="3507"/>
        <v>0</v>
      </c>
      <c r="U686" s="62">
        <f t="shared" si="3343"/>
        <v>650.20000000000005</v>
      </c>
      <c r="V686" s="63">
        <f t="shared" si="3344"/>
        <v>0</v>
      </c>
      <c r="W686" s="63">
        <f t="shared" si="3345"/>
        <v>0</v>
      </c>
      <c r="X686" s="64"/>
      <c r="Y686" s="64"/>
      <c r="Z686" s="64"/>
      <c r="AA686" s="65"/>
      <c r="AB686" s="65"/>
      <c r="AC686" s="65"/>
      <c r="AD686" s="65"/>
      <c r="AE686" s="113"/>
      <c r="AF686" s="66"/>
      <c r="AG686" s="66"/>
      <c r="AH686" s="66"/>
      <c r="AI686" s="65"/>
      <c r="AJ686" s="65"/>
      <c r="AK686" s="65"/>
      <c r="AL686" s="65"/>
      <c r="AM686" s="65"/>
      <c r="AN686" s="65"/>
      <c r="AO686" s="65"/>
      <c r="AP686" s="65"/>
      <c r="AQ686" s="65"/>
      <c r="AR686" s="65"/>
      <c r="AS686" s="65"/>
      <c r="AT686" s="65"/>
      <c r="AU686" s="65"/>
      <c r="AV686" s="65"/>
      <c r="AW686" s="65"/>
      <c r="AX686" s="65"/>
      <c r="AY686" s="65"/>
      <c r="AZ686" s="65"/>
      <c r="BA686" s="65"/>
      <c r="BB686" s="65"/>
      <c r="BC686" s="65"/>
      <c r="BD686" s="65"/>
      <c r="BE686" s="65"/>
      <c r="BF686" s="65"/>
      <c r="BG686" s="65"/>
      <c r="BH686" s="65"/>
      <c r="BI686" s="65"/>
      <c r="BJ686" s="65"/>
      <c r="BK686" s="65">
        <v>0</v>
      </c>
      <c r="BL686" s="65">
        <v>0</v>
      </c>
      <c r="BM686" s="65">
        <v>0</v>
      </c>
      <c r="BN686" s="65">
        <f t="shared" si="3459"/>
        <v>0</v>
      </c>
      <c r="BO686" s="67">
        <f t="shared" si="3460"/>
        <v>0</v>
      </c>
      <c r="BP686" s="65">
        <f t="shared" si="3461"/>
        <v>0</v>
      </c>
      <c r="BQ686" s="65">
        <f t="shared" si="3462"/>
        <v>650.20000000000005</v>
      </c>
      <c r="BR686" s="65">
        <f t="shared" si="3463"/>
        <v>0</v>
      </c>
      <c r="BS686" s="65">
        <f t="shared" si="3464"/>
        <v>650.20000000000005</v>
      </c>
      <c r="BT686" s="65">
        <f t="shared" si="3465"/>
        <v>0</v>
      </c>
      <c r="BU686" s="65">
        <f t="shared" si="3466"/>
        <v>0</v>
      </c>
      <c r="BV686" s="65">
        <f t="shared" si="3467"/>
        <v>650.20000000000005</v>
      </c>
      <c r="BW686" s="65">
        <f t="shared" si="3468"/>
        <v>650.20000000000005</v>
      </c>
      <c r="BX686" s="6"/>
      <c r="BY686" s="6"/>
      <c r="BZ686" s="6"/>
      <c r="CA686" s="6"/>
      <c r="CB686" s="6"/>
      <c r="CC686" s="6"/>
      <c r="CD686" s="6"/>
      <c r="CE686" s="6"/>
      <c r="CF686" s="6"/>
      <c r="CG686" s="6"/>
    </row>
    <row r="687" spans="1:85" ht="15.75" customHeight="1" outlineLevel="1">
      <c r="A687" s="121"/>
      <c r="B687" s="121" t="s">
        <v>834</v>
      </c>
      <c r="C687" s="68" t="s">
        <v>835</v>
      </c>
      <c r="D687" s="122" t="s">
        <v>836</v>
      </c>
      <c r="E687" s="56">
        <v>80000</v>
      </c>
      <c r="F687" s="99">
        <v>0</v>
      </c>
      <c r="G687" s="58">
        <f t="shared" si="3340"/>
        <v>80000</v>
      </c>
      <c r="H687" s="99">
        <v>0</v>
      </c>
      <c r="I687" s="59">
        <f t="shared" si="3007"/>
        <v>0</v>
      </c>
      <c r="J687" s="59">
        <f t="shared" si="2705"/>
        <v>0</v>
      </c>
      <c r="K687" s="74">
        <v>0</v>
      </c>
      <c r="L687" s="376">
        <v>64250</v>
      </c>
      <c r="M687" s="74">
        <v>0</v>
      </c>
      <c r="N687" s="74">
        <v>0</v>
      </c>
      <c r="O687" s="61">
        <f t="shared" ref="O687:Q687" si="3508">AA687+AD687+AG687+AJ687+AM687+AP687+AS687+AV687+AY687+BB687+BE687+BH687</f>
        <v>0</v>
      </c>
      <c r="P687" s="61">
        <f t="shared" si="3508"/>
        <v>64250</v>
      </c>
      <c r="Q687" s="61">
        <f t="shared" si="3508"/>
        <v>0</v>
      </c>
      <c r="R687" s="61">
        <f t="shared" ref="R687:T687" si="3509">IF(BK687=0,SUM(AA687+AD687+AG687+AJ687+AM687+AP687+AS687+AV687+AY687+BB687+BE687+BH687),BK687)</f>
        <v>0</v>
      </c>
      <c r="S687" s="61">
        <f t="shared" si="3509"/>
        <v>64250</v>
      </c>
      <c r="T687" s="61">
        <f t="shared" si="3509"/>
        <v>0</v>
      </c>
      <c r="U687" s="63">
        <f t="shared" si="3343"/>
        <v>0</v>
      </c>
      <c r="V687" s="63">
        <f t="shared" si="3344"/>
        <v>0</v>
      </c>
      <c r="W687" s="63">
        <f t="shared" si="3345"/>
        <v>0</v>
      </c>
      <c r="X687" s="64">
        <f t="shared" ref="X687:Y687" si="3510">IF(O687&gt;0,O687/K687,0)</f>
        <v>0</v>
      </c>
      <c r="Y687" s="64">
        <f t="shared" si="3510"/>
        <v>1</v>
      </c>
      <c r="Z687" s="64">
        <f t="shared" ref="Z687:Z760" si="3511">IF(Q687&gt;0,Q687/N687,0)</f>
        <v>0</v>
      </c>
      <c r="AA687" s="65"/>
      <c r="AB687" s="65"/>
      <c r="AC687" s="65"/>
      <c r="AD687" s="65"/>
      <c r="AE687" s="113">
        <v>64250</v>
      </c>
      <c r="AF687" s="66"/>
      <c r="AG687" s="66"/>
      <c r="AH687" s="66"/>
      <c r="AI687" s="65"/>
      <c r="AJ687" s="65"/>
      <c r="AK687" s="65"/>
      <c r="AL687" s="65"/>
      <c r="AM687" s="65"/>
      <c r="AN687" s="65"/>
      <c r="AO687" s="65"/>
      <c r="AP687" s="65"/>
      <c r="AQ687" s="65"/>
      <c r="AR687" s="65"/>
      <c r="AS687" s="65"/>
      <c r="AT687" s="65"/>
      <c r="AU687" s="65"/>
      <c r="AV687" s="65"/>
      <c r="AW687" s="65"/>
      <c r="AX687" s="65"/>
      <c r="AY687" s="65"/>
      <c r="AZ687" s="65"/>
      <c r="BA687" s="65"/>
      <c r="BB687" s="65"/>
      <c r="BC687" s="65"/>
      <c r="BD687" s="65"/>
      <c r="BE687" s="65"/>
      <c r="BF687" s="65"/>
      <c r="BG687" s="65"/>
      <c r="BH687" s="65"/>
      <c r="BI687" s="65"/>
      <c r="BJ687" s="65"/>
      <c r="BK687" s="65">
        <v>0</v>
      </c>
      <c r="BL687" s="65">
        <v>0</v>
      </c>
      <c r="BM687" s="65">
        <v>0</v>
      </c>
      <c r="BN687" s="65">
        <f t="shared" si="3459"/>
        <v>0</v>
      </c>
      <c r="BO687" s="67">
        <f t="shared" si="3460"/>
        <v>0</v>
      </c>
      <c r="BP687" s="65">
        <f t="shared" si="3461"/>
        <v>0</v>
      </c>
      <c r="BQ687" s="65">
        <f t="shared" si="3462"/>
        <v>0</v>
      </c>
      <c r="BR687" s="65">
        <f t="shared" si="3463"/>
        <v>0</v>
      </c>
      <c r="BS687" s="65">
        <f t="shared" si="3464"/>
        <v>0</v>
      </c>
      <c r="BT687" s="65">
        <f t="shared" si="3465"/>
        <v>0</v>
      </c>
      <c r="BU687" s="65">
        <f t="shared" si="3466"/>
        <v>0</v>
      </c>
      <c r="BV687" s="65">
        <f t="shared" si="3467"/>
        <v>0</v>
      </c>
      <c r="BW687" s="65">
        <f t="shared" si="3468"/>
        <v>0</v>
      </c>
      <c r="BX687" s="6"/>
      <c r="BY687" s="6"/>
      <c r="BZ687" s="6"/>
      <c r="CA687" s="6"/>
      <c r="CB687" s="6"/>
      <c r="CC687" s="6"/>
      <c r="CD687" s="6"/>
      <c r="CE687" s="6"/>
      <c r="CF687" s="6"/>
      <c r="CG687" s="6"/>
    </row>
    <row r="688" spans="1:85" ht="15.75" customHeight="1">
      <c r="A688" s="104" t="s">
        <v>837</v>
      </c>
      <c r="B688" s="103"/>
      <c r="C688" s="68" t="s">
        <v>835</v>
      </c>
      <c r="D688" s="124" t="s">
        <v>838</v>
      </c>
      <c r="E688" s="57">
        <v>0</v>
      </c>
      <c r="F688" s="99">
        <v>0</v>
      </c>
      <c r="G688" s="58">
        <f t="shared" si="3340"/>
        <v>0</v>
      </c>
      <c r="H688" s="99">
        <v>0</v>
      </c>
      <c r="I688" s="59">
        <f t="shared" si="3007"/>
        <v>0</v>
      </c>
      <c r="J688" s="59">
        <f t="shared" si="2705"/>
        <v>0</v>
      </c>
      <c r="K688" s="74">
        <v>22089</v>
      </c>
      <c r="L688" s="74">
        <v>0</v>
      </c>
      <c r="M688" s="74">
        <v>0</v>
      </c>
      <c r="N688" s="74">
        <v>0</v>
      </c>
      <c r="O688" s="63">
        <f t="shared" ref="O688:Q688" si="3512">AA688+AD688+AG688+AJ688+AM688+AP688+AS688+AV688+AY688+BB688+BE688+BH688</f>
        <v>22089</v>
      </c>
      <c r="P688" s="61">
        <f t="shared" si="3512"/>
        <v>0</v>
      </c>
      <c r="Q688" s="61">
        <f t="shared" si="3512"/>
        <v>0</v>
      </c>
      <c r="R688" s="61">
        <f t="shared" ref="R688:T688" si="3513">IF(BK688=0,SUM(AA688+AD688+AG688+AJ688+AM688+AP688+AS688+AV688+AY688+BB688+BE688+BH688),BK688)</f>
        <v>22089</v>
      </c>
      <c r="S688" s="61">
        <f t="shared" si="3513"/>
        <v>0</v>
      </c>
      <c r="T688" s="61">
        <f t="shared" si="3513"/>
        <v>0</v>
      </c>
      <c r="U688" s="63">
        <f t="shared" si="3343"/>
        <v>0</v>
      </c>
      <c r="V688" s="63">
        <f t="shared" si="3344"/>
        <v>0</v>
      </c>
      <c r="W688" s="63">
        <f t="shared" si="3345"/>
        <v>0</v>
      </c>
      <c r="X688" s="64">
        <f t="shared" ref="X688:Y688" si="3514">IF(O688&gt;0,O688/K688,0)</f>
        <v>1</v>
      </c>
      <c r="Y688" s="64">
        <f t="shared" si="3514"/>
        <v>0</v>
      </c>
      <c r="Z688" s="64">
        <f t="shared" si="3511"/>
        <v>0</v>
      </c>
      <c r="AA688" s="65"/>
      <c r="AB688" s="65"/>
      <c r="AC688" s="65"/>
      <c r="AD688" s="65"/>
      <c r="AE688" s="66"/>
      <c r="AF688" s="66"/>
      <c r="AG688" s="66"/>
      <c r="AH688" s="66"/>
      <c r="AI688" s="65"/>
      <c r="AJ688" s="100">
        <v>22089</v>
      </c>
      <c r="AK688" s="65"/>
      <c r="AL688" s="65"/>
      <c r="AM688" s="65"/>
      <c r="AN688" s="65"/>
      <c r="AO688" s="65"/>
      <c r="AP688" s="65"/>
      <c r="AQ688" s="65"/>
      <c r="AR688" s="65"/>
      <c r="AS688" s="65"/>
      <c r="AT688" s="65"/>
      <c r="AU688" s="65"/>
      <c r="AV688" s="65"/>
      <c r="AW688" s="65"/>
      <c r="AX688" s="65"/>
      <c r="AY688" s="65"/>
      <c r="AZ688" s="65"/>
      <c r="BA688" s="65"/>
      <c r="BB688" s="65"/>
      <c r="BC688" s="65"/>
      <c r="BD688" s="65"/>
      <c r="BE688" s="65"/>
      <c r="BF688" s="65"/>
      <c r="BG688" s="65"/>
      <c r="BH688" s="65"/>
      <c r="BI688" s="65"/>
      <c r="BJ688" s="65"/>
      <c r="BK688" s="65">
        <v>0</v>
      </c>
      <c r="BL688" s="65">
        <v>0</v>
      </c>
      <c r="BM688" s="65">
        <v>0</v>
      </c>
      <c r="BN688" s="65">
        <f t="shared" si="3459"/>
        <v>22089</v>
      </c>
      <c r="BO688" s="67">
        <f t="shared" si="3460"/>
        <v>0</v>
      </c>
      <c r="BP688" s="65">
        <f t="shared" si="3461"/>
        <v>22089</v>
      </c>
      <c r="BQ688" s="65">
        <f t="shared" si="3462"/>
        <v>0</v>
      </c>
      <c r="BR688" s="65">
        <f t="shared" si="3463"/>
        <v>0</v>
      </c>
      <c r="BS688" s="65">
        <f t="shared" si="3464"/>
        <v>0</v>
      </c>
      <c r="BT688" s="65">
        <f t="shared" si="3465"/>
        <v>0</v>
      </c>
      <c r="BU688" s="65">
        <f t="shared" si="3466"/>
        <v>22089</v>
      </c>
      <c r="BV688" s="65">
        <f t="shared" si="3467"/>
        <v>0</v>
      </c>
      <c r="BW688" s="65">
        <f t="shared" si="3468"/>
        <v>22089</v>
      </c>
      <c r="BX688" s="6"/>
      <c r="BY688" s="6"/>
      <c r="BZ688" s="6"/>
      <c r="CA688" s="6"/>
      <c r="CB688" s="6"/>
      <c r="CC688" s="6"/>
      <c r="CD688" s="6"/>
      <c r="CE688" s="6"/>
      <c r="CF688" s="6"/>
      <c r="CG688" s="6"/>
    </row>
    <row r="689" spans="1:85" ht="15.75" customHeight="1">
      <c r="A689" s="104" t="s">
        <v>808</v>
      </c>
      <c r="B689" s="103"/>
      <c r="C689" s="104" t="s">
        <v>504</v>
      </c>
      <c r="D689" s="124" t="s">
        <v>839</v>
      </c>
      <c r="E689" s="57">
        <v>0</v>
      </c>
      <c r="F689" s="99">
        <v>0</v>
      </c>
      <c r="G689" s="58">
        <f t="shared" si="3340"/>
        <v>0</v>
      </c>
      <c r="H689" s="99">
        <v>0</v>
      </c>
      <c r="I689" s="59">
        <f t="shared" si="3007"/>
        <v>0</v>
      </c>
      <c r="J689" s="59">
        <f t="shared" si="2705"/>
        <v>0</v>
      </c>
      <c r="K689" s="74">
        <v>10.8</v>
      </c>
      <c r="L689" s="74">
        <v>0</v>
      </c>
      <c r="M689" s="74">
        <v>0</v>
      </c>
      <c r="N689" s="74">
        <v>0</v>
      </c>
      <c r="O689" s="63">
        <f t="shared" ref="O689:Q689" si="3515">AA689+AD689+AG689+AJ689+AM689+AP689+AS689+AV689+AY689+BB689+BE689+BH689</f>
        <v>0</v>
      </c>
      <c r="P689" s="61">
        <f t="shared" si="3515"/>
        <v>0</v>
      </c>
      <c r="Q689" s="61">
        <f t="shared" si="3515"/>
        <v>0</v>
      </c>
      <c r="R689" s="61">
        <f t="shared" ref="R689:T689" si="3516">IF(BK689=0,SUM(AA689+AD689+AG689+AJ689+AM689+AP689+AS689+AV689+AY689+BB689+BE689+BH689),BK689)</f>
        <v>0</v>
      </c>
      <c r="S689" s="61">
        <f t="shared" si="3516"/>
        <v>0</v>
      </c>
      <c r="T689" s="61">
        <f t="shared" si="3516"/>
        <v>0</v>
      </c>
      <c r="U689" s="62">
        <f t="shared" si="3343"/>
        <v>10.8</v>
      </c>
      <c r="V689" s="63">
        <f t="shared" si="3344"/>
        <v>0</v>
      </c>
      <c r="W689" s="63">
        <f t="shared" si="3345"/>
        <v>0</v>
      </c>
      <c r="X689" s="64">
        <f t="shared" ref="X689:Y689" si="3517">IF(O689&gt;0,O689/K689,0)</f>
        <v>0</v>
      </c>
      <c r="Y689" s="64">
        <f t="shared" si="3517"/>
        <v>0</v>
      </c>
      <c r="Z689" s="64">
        <f t="shared" si="3511"/>
        <v>0</v>
      </c>
      <c r="AA689" s="65"/>
      <c r="AB689" s="65"/>
      <c r="AC689" s="65"/>
      <c r="AD689" s="65"/>
      <c r="AE689" s="66"/>
      <c r="AF689" s="66"/>
      <c r="AG689" s="66"/>
      <c r="AH689" s="66"/>
      <c r="AI689" s="65"/>
      <c r="AJ689" s="65"/>
      <c r="AK689" s="65"/>
      <c r="AL689" s="65"/>
      <c r="AM689" s="65"/>
      <c r="AN689" s="65"/>
      <c r="AO689" s="65"/>
      <c r="AP689" s="65"/>
      <c r="AQ689" s="65"/>
      <c r="AR689" s="65"/>
      <c r="AS689" s="65"/>
      <c r="AT689" s="65"/>
      <c r="AU689" s="65"/>
      <c r="AV689" s="65"/>
      <c r="AW689" s="65"/>
      <c r="AX689" s="65"/>
      <c r="AY689" s="65"/>
      <c r="AZ689" s="65"/>
      <c r="BA689" s="65"/>
      <c r="BB689" s="65"/>
      <c r="BC689" s="65"/>
      <c r="BD689" s="65"/>
      <c r="BE689" s="65"/>
      <c r="BF689" s="65"/>
      <c r="BG689" s="65"/>
      <c r="BH689" s="65"/>
      <c r="BI689" s="65"/>
      <c r="BJ689" s="65"/>
      <c r="BK689" s="65"/>
      <c r="BL689" s="65"/>
      <c r="BM689" s="65"/>
      <c r="BN689" s="65"/>
      <c r="BO689" s="67"/>
      <c r="BP689" s="65"/>
      <c r="BQ689" s="65"/>
      <c r="BR689" s="65"/>
      <c r="BS689" s="65"/>
      <c r="BT689" s="65"/>
      <c r="BU689" s="65"/>
      <c r="BV689" s="65"/>
      <c r="BW689" s="65"/>
      <c r="BX689" s="6"/>
      <c r="BY689" s="6"/>
      <c r="BZ689" s="6"/>
      <c r="CA689" s="6"/>
      <c r="CB689" s="6"/>
      <c r="CC689" s="6"/>
      <c r="CD689" s="6"/>
      <c r="CE689" s="6"/>
      <c r="CF689" s="6"/>
      <c r="CG689" s="6"/>
    </row>
    <row r="690" spans="1:85" ht="15.75" customHeight="1">
      <c r="A690" s="71"/>
      <c r="B690" s="103"/>
      <c r="C690" s="68" t="s">
        <v>131</v>
      </c>
      <c r="D690" s="122" t="s">
        <v>840</v>
      </c>
      <c r="E690" s="56">
        <v>10000</v>
      </c>
      <c r="F690" s="99">
        <v>0</v>
      </c>
      <c r="G690" s="58">
        <f t="shared" si="3340"/>
        <v>10000</v>
      </c>
      <c r="H690" s="99">
        <v>0</v>
      </c>
      <c r="I690" s="59">
        <f t="shared" si="3007"/>
        <v>0</v>
      </c>
      <c r="J690" s="59">
        <f t="shared" si="2705"/>
        <v>0</v>
      </c>
      <c r="K690" s="74">
        <v>0</v>
      </c>
      <c r="L690" s="74">
        <v>0</v>
      </c>
      <c r="M690" s="74">
        <v>0</v>
      </c>
      <c r="N690" s="74">
        <v>0</v>
      </c>
      <c r="O690" s="61">
        <f t="shared" ref="O690:Q690" si="3518">AA690+AD690+AG690+AJ690+AM690+AP690+AS690+AV690+AY690+BB690+BE690+BH690</f>
        <v>0</v>
      </c>
      <c r="P690" s="61">
        <f t="shared" si="3518"/>
        <v>0</v>
      </c>
      <c r="Q690" s="61">
        <f t="shared" si="3518"/>
        <v>0</v>
      </c>
      <c r="R690" s="61">
        <f t="shared" ref="R690:T690" si="3519">IF(BK690=0,SUM(AA690+AD690+AG690+AJ690+AM690+AP690+AS690+AV690+AY690+BB690+BE690+BH690),BK690)</f>
        <v>0</v>
      </c>
      <c r="S690" s="61">
        <f t="shared" si="3519"/>
        <v>0</v>
      </c>
      <c r="T690" s="61">
        <f t="shared" si="3519"/>
        <v>0</v>
      </c>
      <c r="U690" s="63">
        <f t="shared" si="3343"/>
        <v>0</v>
      </c>
      <c r="V690" s="63">
        <f t="shared" si="3344"/>
        <v>0</v>
      </c>
      <c r="W690" s="63">
        <f t="shared" si="3345"/>
        <v>0</v>
      </c>
      <c r="X690" s="64">
        <f t="shared" ref="X690:Y690" si="3520">IF(O690&gt;0,O690/K690,0)</f>
        <v>0</v>
      </c>
      <c r="Y690" s="64">
        <f t="shared" si="3520"/>
        <v>0</v>
      </c>
      <c r="Z690" s="64">
        <f t="shared" si="3511"/>
        <v>0</v>
      </c>
      <c r="AA690" s="65"/>
      <c r="AB690" s="65"/>
      <c r="AC690" s="65"/>
      <c r="AD690" s="65"/>
      <c r="AE690" s="66"/>
      <c r="AF690" s="66"/>
      <c r="AG690" s="66"/>
      <c r="AH690" s="66"/>
      <c r="AI690" s="65"/>
      <c r="AJ690" s="65"/>
      <c r="AK690" s="65"/>
      <c r="AL690" s="65"/>
      <c r="AM690" s="65"/>
      <c r="AN690" s="65"/>
      <c r="AO690" s="65"/>
      <c r="AP690" s="65"/>
      <c r="AQ690" s="65"/>
      <c r="AR690" s="65"/>
      <c r="AS690" s="65"/>
      <c r="AT690" s="65"/>
      <c r="AU690" s="65"/>
      <c r="AV690" s="65"/>
      <c r="AW690" s="65"/>
      <c r="AX690" s="65"/>
      <c r="AY690" s="65"/>
      <c r="AZ690" s="65"/>
      <c r="BA690" s="65"/>
      <c r="BB690" s="65"/>
      <c r="BC690" s="65"/>
      <c r="BD690" s="65"/>
      <c r="BE690" s="65"/>
      <c r="BF690" s="65"/>
      <c r="BG690" s="65"/>
      <c r="BH690" s="65"/>
      <c r="BI690" s="65"/>
      <c r="BJ690" s="65"/>
      <c r="BK690" s="65">
        <v>0</v>
      </c>
      <c r="BL690" s="65">
        <v>0</v>
      </c>
      <c r="BM690" s="65">
        <v>0</v>
      </c>
      <c r="BN690" s="65">
        <f t="shared" ref="BN690:BN692" si="3521">IF(O690-BK690&gt;0,O690-BK690,0)</f>
        <v>0</v>
      </c>
      <c r="BO690" s="67">
        <f t="shared" ref="BO690:BO692" si="3522">IF(Q690-BM690&gt;0,Q690-BM690,0)</f>
        <v>0</v>
      </c>
      <c r="BP690" s="65">
        <f t="shared" ref="BP690:BP692" si="3523">IF(BN690+BO690&gt;0,BN690+BO690,0)</f>
        <v>0</v>
      </c>
      <c r="BQ690" s="65">
        <f t="shared" ref="BQ690:BQ692" si="3524">IF(U690=0,0,U690)</f>
        <v>0</v>
      </c>
      <c r="BR690" s="65">
        <f t="shared" ref="BR690:BR692" si="3525">IF(W690=0,0,W690)</f>
        <v>0</v>
      </c>
      <c r="BS690" s="65">
        <f t="shared" ref="BS690:BS692" si="3526">IF(BQ690+BR690&gt;0,BQ690+BR690,0)</f>
        <v>0</v>
      </c>
      <c r="BT690" s="65">
        <f t="shared" ref="BT690:BT692" si="3527">IF(V690&gt;0,V690,0)</f>
        <v>0</v>
      </c>
      <c r="BU690" s="65">
        <f t="shared" ref="BU690:BU692" si="3528">IF(BP690=0,0,BP690)</f>
        <v>0</v>
      </c>
      <c r="BV690" s="65">
        <f t="shared" ref="BV690:BV692" si="3529">IF(BS690=0,0,BS690)</f>
        <v>0</v>
      </c>
      <c r="BW690" s="65">
        <f t="shared" ref="BW690:BW692" si="3530">IF(BP690+BT690+BV690&gt;0,BP690+BT690+BV690,0)</f>
        <v>0</v>
      </c>
      <c r="BX690" s="6"/>
      <c r="BY690" s="6"/>
      <c r="BZ690" s="6"/>
      <c r="CA690" s="6"/>
      <c r="CB690" s="6"/>
      <c r="CC690" s="6"/>
      <c r="CD690" s="6"/>
      <c r="CE690" s="6"/>
      <c r="CF690" s="6"/>
      <c r="CG690" s="6"/>
    </row>
    <row r="691" spans="1:85" ht="15.75" customHeight="1">
      <c r="A691" s="173" t="s">
        <v>841</v>
      </c>
      <c r="B691" s="169"/>
      <c r="C691" s="68" t="s">
        <v>442</v>
      </c>
      <c r="D691" s="124" t="s">
        <v>842</v>
      </c>
      <c r="E691" s="99">
        <v>0</v>
      </c>
      <c r="F691" s="99">
        <v>0</v>
      </c>
      <c r="G691" s="58">
        <f t="shared" si="3340"/>
        <v>0</v>
      </c>
      <c r="H691" s="99">
        <v>0</v>
      </c>
      <c r="I691" s="59">
        <f t="shared" si="3007"/>
        <v>0</v>
      </c>
      <c r="J691" s="59">
        <f t="shared" si="2705"/>
        <v>0</v>
      </c>
      <c r="K691" s="74">
        <v>608.4</v>
      </c>
      <c r="L691" s="74">
        <v>0</v>
      </c>
      <c r="M691" s="74">
        <v>0</v>
      </c>
      <c r="N691" s="74">
        <v>0</v>
      </c>
      <c r="O691" s="61">
        <f t="shared" ref="O691:Q691" si="3531">AA691+AD691+AG691+AJ691+AM691+AP691+AS691+AV691+AY691+BB691+BE691+BH691</f>
        <v>0</v>
      </c>
      <c r="P691" s="61">
        <f t="shared" si="3531"/>
        <v>0</v>
      </c>
      <c r="Q691" s="61">
        <f t="shared" si="3531"/>
        <v>0</v>
      </c>
      <c r="R691" s="61">
        <f t="shared" ref="R691:T691" si="3532">IF(BK691=0,SUM(AA691+AD691+AG691+AJ691+AM691+AP691+AS691+AV691+AY691+BB691+BE691+BH691),BK691)</f>
        <v>0</v>
      </c>
      <c r="S691" s="61">
        <f t="shared" si="3532"/>
        <v>0</v>
      </c>
      <c r="T691" s="61">
        <f t="shared" si="3532"/>
        <v>0</v>
      </c>
      <c r="U691" s="62">
        <f t="shared" si="3343"/>
        <v>608.4</v>
      </c>
      <c r="V691" s="63">
        <f t="shared" si="3344"/>
        <v>0</v>
      </c>
      <c r="W691" s="63">
        <f t="shared" si="3345"/>
        <v>0</v>
      </c>
      <c r="X691" s="64">
        <f t="shared" ref="X691:Y691" si="3533">IF(O691&gt;0,O691/K691,0)</f>
        <v>0</v>
      </c>
      <c r="Y691" s="64">
        <f t="shared" si="3533"/>
        <v>0</v>
      </c>
      <c r="Z691" s="64">
        <f t="shared" si="3511"/>
        <v>0</v>
      </c>
      <c r="AA691" s="65"/>
      <c r="AB691" s="65"/>
      <c r="AC691" s="65"/>
      <c r="AD691" s="65"/>
      <c r="AE691" s="66"/>
      <c r="AF691" s="66"/>
      <c r="AG691" s="66"/>
      <c r="AH691" s="66"/>
      <c r="AI691" s="65"/>
      <c r="AJ691" s="65"/>
      <c r="AK691" s="65"/>
      <c r="AL691" s="65"/>
      <c r="AM691" s="65"/>
      <c r="AN691" s="65"/>
      <c r="AO691" s="65"/>
      <c r="AP691" s="65"/>
      <c r="AQ691" s="65"/>
      <c r="AR691" s="65"/>
      <c r="AS691" s="65"/>
      <c r="AT691" s="65"/>
      <c r="AU691" s="65"/>
      <c r="AV691" s="65"/>
      <c r="AW691" s="65"/>
      <c r="AX691" s="65"/>
      <c r="AY691" s="65"/>
      <c r="AZ691" s="65"/>
      <c r="BA691" s="65"/>
      <c r="BB691" s="65"/>
      <c r="BC691" s="65"/>
      <c r="BD691" s="65"/>
      <c r="BE691" s="65"/>
      <c r="BF691" s="65"/>
      <c r="BG691" s="65"/>
      <c r="BH691" s="65"/>
      <c r="BI691" s="65"/>
      <c r="BJ691" s="65"/>
      <c r="BK691" s="65">
        <v>0</v>
      </c>
      <c r="BL691" s="65">
        <v>0</v>
      </c>
      <c r="BM691" s="65">
        <v>0</v>
      </c>
      <c r="BN691" s="65">
        <f t="shared" si="3521"/>
        <v>0</v>
      </c>
      <c r="BO691" s="67">
        <f t="shared" si="3522"/>
        <v>0</v>
      </c>
      <c r="BP691" s="65">
        <f t="shared" si="3523"/>
        <v>0</v>
      </c>
      <c r="BQ691" s="65">
        <f t="shared" si="3524"/>
        <v>608.4</v>
      </c>
      <c r="BR691" s="65">
        <f t="shared" si="3525"/>
        <v>0</v>
      </c>
      <c r="BS691" s="65">
        <f t="shared" si="3526"/>
        <v>608.4</v>
      </c>
      <c r="BT691" s="65">
        <f t="shared" si="3527"/>
        <v>0</v>
      </c>
      <c r="BU691" s="65">
        <f t="shared" si="3528"/>
        <v>0</v>
      </c>
      <c r="BV691" s="65">
        <f t="shared" si="3529"/>
        <v>608.4</v>
      </c>
      <c r="BW691" s="65">
        <f t="shared" si="3530"/>
        <v>608.4</v>
      </c>
      <c r="BX691" s="6"/>
      <c r="BY691" s="6"/>
      <c r="BZ691" s="6"/>
      <c r="CA691" s="6"/>
      <c r="CB691" s="6"/>
      <c r="CC691" s="6"/>
      <c r="CD691" s="6"/>
      <c r="CE691" s="6"/>
      <c r="CF691" s="6"/>
      <c r="CG691" s="6"/>
    </row>
    <row r="692" spans="1:85" ht="15.75" customHeight="1">
      <c r="A692" s="104" t="s">
        <v>799</v>
      </c>
      <c r="B692" s="377"/>
      <c r="C692" s="68" t="s">
        <v>133</v>
      </c>
      <c r="D692" s="124" t="s">
        <v>843</v>
      </c>
      <c r="E692" s="99">
        <v>0</v>
      </c>
      <c r="F692" s="99">
        <v>0</v>
      </c>
      <c r="G692" s="58">
        <f t="shared" si="3340"/>
        <v>0</v>
      </c>
      <c r="H692" s="99">
        <v>0</v>
      </c>
      <c r="I692" s="59">
        <f t="shared" si="3007"/>
        <v>0</v>
      </c>
      <c r="J692" s="59">
        <f t="shared" si="2705"/>
        <v>0</v>
      </c>
      <c r="K692" s="74">
        <v>381.14</v>
      </c>
      <c r="L692" s="74">
        <v>0</v>
      </c>
      <c r="M692" s="74">
        <v>0</v>
      </c>
      <c r="N692" s="74">
        <v>0</v>
      </c>
      <c r="O692" s="61">
        <f t="shared" ref="O692:Q692" si="3534">AA692+AD692+AG692+AJ692+AM692+AP692+AS692+AV692+AY692+BB692+BE692+BH692</f>
        <v>381.14</v>
      </c>
      <c r="P692" s="61">
        <f t="shared" si="3534"/>
        <v>0</v>
      </c>
      <c r="Q692" s="61">
        <f t="shared" si="3534"/>
        <v>0</v>
      </c>
      <c r="R692" s="61">
        <f t="shared" ref="R692:T692" si="3535">IF(BK692=0,SUM(AA692+AD692+AG692+AJ692+AM692+AP692+AS692+AV692+AY692+BB692+BE692+BH692),BK692)</f>
        <v>381.14</v>
      </c>
      <c r="S692" s="61">
        <f t="shared" si="3535"/>
        <v>0</v>
      </c>
      <c r="T692" s="61">
        <f t="shared" si="3535"/>
        <v>0</v>
      </c>
      <c r="U692" s="63">
        <f t="shared" si="3343"/>
        <v>0</v>
      </c>
      <c r="V692" s="63">
        <f t="shared" si="3344"/>
        <v>0</v>
      </c>
      <c r="W692" s="63">
        <f t="shared" si="3345"/>
        <v>0</v>
      </c>
      <c r="X692" s="64">
        <f t="shared" ref="X692:Y692" si="3536">IF(O692&gt;0,O692/K692,0)</f>
        <v>1</v>
      </c>
      <c r="Y692" s="64">
        <f t="shared" si="3536"/>
        <v>0</v>
      </c>
      <c r="Z692" s="64">
        <f t="shared" si="3511"/>
        <v>0</v>
      </c>
      <c r="AA692" s="65"/>
      <c r="AB692" s="65"/>
      <c r="AC692" s="65"/>
      <c r="AD692" s="65"/>
      <c r="AE692" s="66"/>
      <c r="AF692" s="66"/>
      <c r="AG692" s="66"/>
      <c r="AH692" s="66"/>
      <c r="AI692" s="65"/>
      <c r="AJ692" s="65"/>
      <c r="AK692" s="65"/>
      <c r="AL692" s="65"/>
      <c r="AM692" s="65"/>
      <c r="AN692" s="65"/>
      <c r="AO692" s="65"/>
      <c r="AP692" s="100">
        <v>381.14</v>
      </c>
      <c r="AQ692" s="65"/>
      <c r="AR692" s="65"/>
      <c r="AS692" s="65"/>
      <c r="AT692" s="65"/>
      <c r="AU692" s="65"/>
      <c r="AV692" s="65"/>
      <c r="AW692" s="65"/>
      <c r="AX692" s="65"/>
      <c r="AY692" s="65"/>
      <c r="AZ692" s="65"/>
      <c r="BA692" s="65"/>
      <c r="BB692" s="65"/>
      <c r="BC692" s="65"/>
      <c r="BD692" s="65"/>
      <c r="BE692" s="65"/>
      <c r="BF692" s="65"/>
      <c r="BG692" s="65"/>
      <c r="BH692" s="65"/>
      <c r="BI692" s="65"/>
      <c r="BJ692" s="65"/>
      <c r="BK692" s="65">
        <v>0</v>
      </c>
      <c r="BL692" s="65">
        <v>0</v>
      </c>
      <c r="BM692" s="65">
        <v>0</v>
      </c>
      <c r="BN692" s="65">
        <f t="shared" si="3521"/>
        <v>381.14</v>
      </c>
      <c r="BO692" s="67">
        <f t="shared" si="3522"/>
        <v>0</v>
      </c>
      <c r="BP692" s="65">
        <f t="shared" si="3523"/>
        <v>381.14</v>
      </c>
      <c r="BQ692" s="65">
        <f t="shared" si="3524"/>
        <v>0</v>
      </c>
      <c r="BR692" s="65">
        <f t="shared" si="3525"/>
        <v>0</v>
      </c>
      <c r="BS692" s="65">
        <f t="shared" si="3526"/>
        <v>0</v>
      </c>
      <c r="BT692" s="65">
        <f t="shared" si="3527"/>
        <v>0</v>
      </c>
      <c r="BU692" s="65">
        <f t="shared" si="3528"/>
        <v>381.14</v>
      </c>
      <c r="BV692" s="65">
        <f t="shared" si="3529"/>
        <v>0</v>
      </c>
      <c r="BW692" s="65">
        <f t="shared" si="3530"/>
        <v>381.14</v>
      </c>
      <c r="BX692" s="6"/>
      <c r="BY692" s="6"/>
      <c r="BZ692" s="6"/>
      <c r="CA692" s="6"/>
      <c r="CB692" s="6"/>
      <c r="CC692" s="6"/>
      <c r="CD692" s="6"/>
      <c r="CE692" s="6"/>
      <c r="CF692" s="6"/>
      <c r="CG692" s="6"/>
    </row>
    <row r="693" spans="1:85" ht="15.75">
      <c r="A693" s="75"/>
      <c r="B693" s="76"/>
      <c r="C693" s="77"/>
      <c r="D693" s="78" t="s">
        <v>137</v>
      </c>
      <c r="E693" s="45">
        <f t="shared" ref="E693:H693" si="3537">SUM(E694:E696)</f>
        <v>600000</v>
      </c>
      <c r="F693" s="46">
        <f t="shared" si="3537"/>
        <v>0</v>
      </c>
      <c r="G693" s="46">
        <f t="shared" si="3537"/>
        <v>600000</v>
      </c>
      <c r="H693" s="46">
        <f t="shared" si="3537"/>
        <v>0</v>
      </c>
      <c r="I693" s="47">
        <f t="shared" si="3007"/>
        <v>0.97216991666666674</v>
      </c>
      <c r="J693" s="47">
        <f t="shared" si="2705"/>
        <v>0.37290521666666665</v>
      </c>
      <c r="K693" s="46">
        <f t="shared" ref="K693:W693" si="3538">SUM(K694:K696)</f>
        <v>583301.95000000007</v>
      </c>
      <c r="L693" s="46">
        <f t="shared" si="3538"/>
        <v>13680.4</v>
      </c>
      <c r="M693" s="46">
        <f t="shared" si="3538"/>
        <v>0</v>
      </c>
      <c r="N693" s="46">
        <f t="shared" si="3538"/>
        <v>0</v>
      </c>
      <c r="O693" s="46">
        <f t="shared" si="3538"/>
        <v>223743.13</v>
      </c>
      <c r="P693" s="46">
        <f t="shared" si="3538"/>
        <v>0</v>
      </c>
      <c r="Q693" s="46">
        <f t="shared" si="3538"/>
        <v>0</v>
      </c>
      <c r="R693" s="46">
        <f t="shared" si="3538"/>
        <v>223743.13</v>
      </c>
      <c r="S693" s="46">
        <f t="shared" si="3538"/>
        <v>0</v>
      </c>
      <c r="T693" s="46">
        <f t="shared" si="3538"/>
        <v>0</v>
      </c>
      <c r="U693" s="46">
        <f t="shared" si="3538"/>
        <v>359558.82000000007</v>
      </c>
      <c r="V693" s="46">
        <f t="shared" si="3538"/>
        <v>13680.4</v>
      </c>
      <c r="W693" s="46">
        <f t="shared" si="3538"/>
        <v>0</v>
      </c>
      <c r="X693" s="50">
        <f t="shared" ref="X693:Y693" si="3539">IF(O693&gt;0,O693/K693,0)</f>
        <v>0.38358028804806837</v>
      </c>
      <c r="Y693" s="50">
        <f t="shared" si="3539"/>
        <v>0</v>
      </c>
      <c r="Z693" s="50">
        <f t="shared" si="3511"/>
        <v>0</v>
      </c>
      <c r="AA693" s="46">
        <f t="shared" ref="AA693:BW693" si="3540">SUM(AA694:AA696)</f>
        <v>0</v>
      </c>
      <c r="AB693" s="46">
        <f t="shared" si="3540"/>
        <v>0</v>
      </c>
      <c r="AC693" s="46">
        <f t="shared" si="3540"/>
        <v>0</v>
      </c>
      <c r="AD693" s="46">
        <f t="shared" si="3540"/>
        <v>43970</v>
      </c>
      <c r="AE693" s="46">
        <f t="shared" si="3540"/>
        <v>0</v>
      </c>
      <c r="AF693" s="46">
        <f t="shared" si="3540"/>
        <v>0</v>
      </c>
      <c r="AG693" s="46">
        <f t="shared" si="3540"/>
        <v>47863.13</v>
      </c>
      <c r="AH693" s="46">
        <f t="shared" si="3540"/>
        <v>0</v>
      </c>
      <c r="AI693" s="46">
        <f t="shared" si="3540"/>
        <v>0</v>
      </c>
      <c r="AJ693" s="46">
        <f t="shared" si="3540"/>
        <v>43970</v>
      </c>
      <c r="AK693" s="46">
        <f t="shared" si="3540"/>
        <v>0</v>
      </c>
      <c r="AL693" s="46">
        <f t="shared" si="3540"/>
        <v>0</v>
      </c>
      <c r="AM693" s="46">
        <f t="shared" si="3540"/>
        <v>43970</v>
      </c>
      <c r="AN693" s="46">
        <f t="shared" si="3540"/>
        <v>0</v>
      </c>
      <c r="AO693" s="46">
        <f t="shared" si="3540"/>
        <v>0</v>
      </c>
      <c r="AP693" s="46">
        <f t="shared" si="3540"/>
        <v>43970</v>
      </c>
      <c r="AQ693" s="46">
        <f t="shared" si="3540"/>
        <v>0</v>
      </c>
      <c r="AR693" s="46">
        <f t="shared" si="3540"/>
        <v>0</v>
      </c>
      <c r="AS693" s="46">
        <f t="shared" si="3540"/>
        <v>0</v>
      </c>
      <c r="AT693" s="46">
        <f t="shared" si="3540"/>
        <v>0</v>
      </c>
      <c r="AU693" s="46">
        <f t="shared" si="3540"/>
        <v>0</v>
      </c>
      <c r="AV693" s="46">
        <f t="shared" si="3540"/>
        <v>0</v>
      </c>
      <c r="AW693" s="46">
        <f t="shared" si="3540"/>
        <v>0</v>
      </c>
      <c r="AX693" s="46">
        <f t="shared" si="3540"/>
        <v>0</v>
      </c>
      <c r="AY693" s="46">
        <f t="shared" si="3540"/>
        <v>0</v>
      </c>
      <c r="AZ693" s="46">
        <f t="shared" si="3540"/>
        <v>0</v>
      </c>
      <c r="BA693" s="46">
        <f t="shared" si="3540"/>
        <v>0</v>
      </c>
      <c r="BB693" s="46">
        <f t="shared" si="3540"/>
        <v>0</v>
      </c>
      <c r="BC693" s="46">
        <f t="shared" si="3540"/>
        <v>0</v>
      </c>
      <c r="BD693" s="46">
        <f t="shared" si="3540"/>
        <v>0</v>
      </c>
      <c r="BE693" s="46">
        <f t="shared" si="3540"/>
        <v>0</v>
      </c>
      <c r="BF693" s="46">
        <f t="shared" si="3540"/>
        <v>0</v>
      </c>
      <c r="BG693" s="46">
        <f t="shared" si="3540"/>
        <v>0</v>
      </c>
      <c r="BH693" s="46">
        <f t="shared" si="3540"/>
        <v>0</v>
      </c>
      <c r="BI693" s="46">
        <f t="shared" si="3540"/>
        <v>0</v>
      </c>
      <c r="BJ693" s="46">
        <f t="shared" si="3540"/>
        <v>0</v>
      </c>
      <c r="BK693" s="46">
        <f t="shared" si="3540"/>
        <v>0</v>
      </c>
      <c r="BL693" s="46">
        <f t="shared" si="3540"/>
        <v>0</v>
      </c>
      <c r="BM693" s="46">
        <f t="shared" si="3540"/>
        <v>0</v>
      </c>
      <c r="BN693" s="46">
        <f t="shared" si="3540"/>
        <v>223743.13</v>
      </c>
      <c r="BO693" s="46">
        <f t="shared" si="3540"/>
        <v>0</v>
      </c>
      <c r="BP693" s="46">
        <f t="shared" si="3540"/>
        <v>223743.13</v>
      </c>
      <c r="BQ693" s="46">
        <f t="shared" si="3540"/>
        <v>359558.82000000007</v>
      </c>
      <c r="BR693" s="46">
        <f t="shared" si="3540"/>
        <v>0</v>
      </c>
      <c r="BS693" s="46">
        <f t="shared" si="3540"/>
        <v>359558.82000000007</v>
      </c>
      <c r="BT693" s="46">
        <f t="shared" si="3540"/>
        <v>13680.4</v>
      </c>
      <c r="BU693" s="46">
        <f t="shared" si="3540"/>
        <v>223743.13</v>
      </c>
      <c r="BV693" s="46">
        <f t="shared" si="3540"/>
        <v>359558.82000000007</v>
      </c>
      <c r="BW693" s="46">
        <f t="shared" si="3540"/>
        <v>596982.35</v>
      </c>
      <c r="BX693" s="51"/>
      <c r="BY693" s="51"/>
      <c r="BZ693" s="51"/>
      <c r="CA693" s="51"/>
      <c r="CB693" s="51"/>
      <c r="CC693" s="51"/>
      <c r="CD693" s="51"/>
      <c r="CE693" s="51"/>
      <c r="CF693" s="51"/>
      <c r="CG693" s="51"/>
    </row>
    <row r="694" spans="1:85" ht="15.75" customHeight="1">
      <c r="A694" s="68"/>
      <c r="B694" s="104" t="s">
        <v>844</v>
      </c>
      <c r="C694" s="68" t="s">
        <v>138</v>
      </c>
      <c r="D694" s="379" t="s">
        <v>845</v>
      </c>
      <c r="E694" s="99">
        <v>0</v>
      </c>
      <c r="F694" s="99">
        <v>0</v>
      </c>
      <c r="G694" s="58">
        <f t="shared" ref="G694:G696" si="3541">E694-F694</f>
        <v>0</v>
      </c>
      <c r="H694" s="99">
        <v>0</v>
      </c>
      <c r="I694" s="59">
        <f t="shared" si="3007"/>
        <v>0</v>
      </c>
      <c r="J694" s="59">
        <f t="shared" si="2705"/>
        <v>0</v>
      </c>
      <c r="K694" s="74">
        <v>0</v>
      </c>
      <c r="L694" s="376">
        <v>8466.08</v>
      </c>
      <c r="M694" s="100">
        <v>0</v>
      </c>
      <c r="N694" s="60">
        <v>0</v>
      </c>
      <c r="O694" s="61">
        <f t="shared" ref="O694:Q694" si="3542">AA694+AD694+AG694+AJ694+AM694+AP694+AS694+AV694+AY694+BB694+BE694+BH694</f>
        <v>0</v>
      </c>
      <c r="P694" s="61">
        <f t="shared" si="3542"/>
        <v>0</v>
      </c>
      <c r="Q694" s="61">
        <f t="shared" si="3542"/>
        <v>0</v>
      </c>
      <c r="R694" s="61">
        <f t="shared" ref="R694:T694" si="3543">IF(BK694=0,SUM(AA694+AD694+AG694+AJ694+AM694+AP694+AS694+AV694+AY694+BB694+BE694+BH694),BK694)</f>
        <v>0</v>
      </c>
      <c r="S694" s="61">
        <f t="shared" si="3543"/>
        <v>0</v>
      </c>
      <c r="T694" s="61">
        <f t="shared" si="3543"/>
        <v>0</v>
      </c>
      <c r="U694" s="63">
        <f t="shared" ref="U694:U696" si="3544">K694-O694</f>
        <v>0</v>
      </c>
      <c r="V694" s="170">
        <f t="shared" ref="V694:V696" si="3545">L694-M694-S694</f>
        <v>8466.08</v>
      </c>
      <c r="W694" s="63">
        <f t="shared" ref="W694:W696" si="3546">N694-Q694</f>
        <v>0</v>
      </c>
      <c r="X694" s="64">
        <f t="shared" ref="X694:Y694" si="3547">IF(O694&gt;0,O694/K694,0)</f>
        <v>0</v>
      </c>
      <c r="Y694" s="64">
        <f t="shared" si="3547"/>
        <v>0</v>
      </c>
      <c r="Z694" s="64">
        <f t="shared" si="3511"/>
        <v>0</v>
      </c>
      <c r="AA694" s="65"/>
      <c r="AB694" s="65"/>
      <c r="AC694" s="65"/>
      <c r="AD694" s="65"/>
      <c r="AE694" s="66"/>
      <c r="AF694" s="66"/>
      <c r="AG694" s="66"/>
      <c r="AH694" s="66"/>
      <c r="AI694" s="65"/>
      <c r="AJ694" s="65"/>
      <c r="AK694" s="65"/>
      <c r="AL694" s="65"/>
      <c r="AM694" s="65"/>
      <c r="AN694" s="65"/>
      <c r="AO694" s="65"/>
      <c r="AP694" s="65"/>
      <c r="AQ694" s="65"/>
      <c r="AR694" s="65"/>
      <c r="AS694" s="65"/>
      <c r="AT694" s="65"/>
      <c r="AU694" s="65"/>
      <c r="AV694" s="65"/>
      <c r="AW694" s="65"/>
      <c r="AX694" s="65"/>
      <c r="AY694" s="65"/>
      <c r="AZ694" s="65"/>
      <c r="BA694" s="65"/>
      <c r="BB694" s="65"/>
      <c r="BC694" s="65"/>
      <c r="BD694" s="65"/>
      <c r="BE694" s="65"/>
      <c r="BF694" s="65"/>
      <c r="BG694" s="65"/>
      <c r="BH694" s="65"/>
      <c r="BI694" s="65"/>
      <c r="BJ694" s="65"/>
      <c r="BK694" s="65">
        <v>0</v>
      </c>
      <c r="BL694" s="65">
        <v>0</v>
      </c>
      <c r="BM694" s="65">
        <v>0</v>
      </c>
      <c r="BN694" s="65">
        <f t="shared" ref="BN694:BN696" si="3548">IF(O694-BK694&gt;0,O694-BK694,0)</f>
        <v>0</v>
      </c>
      <c r="BO694" s="67">
        <f t="shared" ref="BO694:BO696" si="3549">IF(Q694-BM694&gt;0,Q694-BM694,0)</f>
        <v>0</v>
      </c>
      <c r="BP694" s="65">
        <f t="shared" ref="BP694:BP696" si="3550">IF(BN694+BO694&gt;0,BN694+BO694,0)</f>
        <v>0</v>
      </c>
      <c r="BQ694" s="65">
        <f t="shared" ref="BQ694:BQ696" si="3551">IF(U694=0,0,U694)</f>
        <v>0</v>
      </c>
      <c r="BR694" s="65">
        <f t="shared" ref="BR694:BR696" si="3552">IF(W694=0,0,W694)</f>
        <v>0</v>
      </c>
      <c r="BS694" s="65">
        <f t="shared" ref="BS694:BS696" si="3553">IF(BQ694+BR694&gt;0,BQ694+BR694,0)</f>
        <v>0</v>
      </c>
      <c r="BT694" s="65">
        <f t="shared" ref="BT694:BT696" si="3554">IF(V694&gt;0,V694,0)</f>
        <v>8466.08</v>
      </c>
      <c r="BU694" s="65">
        <f t="shared" ref="BU694:BU696" si="3555">IF(BP694=0,0,BP694)</f>
        <v>0</v>
      </c>
      <c r="BV694" s="65">
        <f t="shared" ref="BV694:BV696" si="3556">IF(BS694=0,0,BS694)</f>
        <v>0</v>
      </c>
      <c r="BW694" s="65">
        <f t="shared" ref="BW694:BW696" si="3557">IF(BP694+BT694+BV694&gt;0,BP694+BT694+BV694,0)</f>
        <v>8466.08</v>
      </c>
      <c r="BX694" s="6"/>
      <c r="BY694" s="6"/>
      <c r="BZ694" s="6"/>
      <c r="CA694" s="6"/>
      <c r="CB694" s="6"/>
      <c r="CC694" s="6"/>
      <c r="CD694" s="6"/>
      <c r="CE694" s="6"/>
      <c r="CF694" s="6"/>
      <c r="CG694" s="6"/>
    </row>
    <row r="695" spans="1:85" ht="15.75" customHeight="1">
      <c r="A695" s="104" t="s">
        <v>846</v>
      </c>
      <c r="B695" s="377"/>
      <c r="C695" s="68" t="s">
        <v>138</v>
      </c>
      <c r="D695" s="122" t="s">
        <v>847</v>
      </c>
      <c r="E695" s="56">
        <v>600000</v>
      </c>
      <c r="F695" s="99">
        <v>0</v>
      </c>
      <c r="G695" s="58">
        <f t="shared" si="3541"/>
        <v>600000</v>
      </c>
      <c r="H695" s="99">
        <v>0</v>
      </c>
      <c r="I695" s="59">
        <f t="shared" si="3007"/>
        <v>0.97216991666666674</v>
      </c>
      <c r="J695" s="59">
        <f t="shared" si="2705"/>
        <v>0.37290521666666665</v>
      </c>
      <c r="K695" s="74">
        <f>43970+43970+43970+9764.62-5870.49+49721.98+198887.92+198887.92</f>
        <v>583301.95000000007</v>
      </c>
      <c r="L695" s="74">
        <v>0</v>
      </c>
      <c r="M695" s="74">
        <v>0</v>
      </c>
      <c r="N695" s="74">
        <v>0</v>
      </c>
      <c r="O695" s="116">
        <f t="shared" ref="O695:Q695" si="3558">AA695+AD695+AG695+AJ695+AM695+AP695+AS695+AV695+AY695+BB695+BE695+BH695</f>
        <v>223743.13</v>
      </c>
      <c r="P695" s="61">
        <f t="shared" si="3558"/>
        <v>0</v>
      </c>
      <c r="Q695" s="61">
        <f t="shared" si="3558"/>
        <v>0</v>
      </c>
      <c r="R695" s="61">
        <f t="shared" ref="R695:T695" si="3559">IF(BK695=0,SUM(AA695+AD695+AG695+AJ695+AM695+AP695+AS695+AV695+AY695+BB695+BE695+BH695),BK695)</f>
        <v>223743.13</v>
      </c>
      <c r="S695" s="61">
        <f t="shared" si="3559"/>
        <v>0</v>
      </c>
      <c r="T695" s="61">
        <f t="shared" si="3559"/>
        <v>0</v>
      </c>
      <c r="U695" s="62">
        <f t="shared" si="3544"/>
        <v>359558.82000000007</v>
      </c>
      <c r="V695" s="63">
        <f t="shared" si="3545"/>
        <v>0</v>
      </c>
      <c r="W695" s="63">
        <f t="shared" si="3546"/>
        <v>0</v>
      </c>
      <c r="X695" s="64">
        <f t="shared" ref="X695:Y695" si="3560">IF(O695&gt;0,O695/K695,0)</f>
        <v>0.38358028804806837</v>
      </c>
      <c r="Y695" s="64">
        <f t="shared" si="3560"/>
        <v>0</v>
      </c>
      <c r="Z695" s="64">
        <f t="shared" si="3511"/>
        <v>0</v>
      </c>
      <c r="AA695" s="65"/>
      <c r="AB695" s="65"/>
      <c r="AC695" s="65"/>
      <c r="AD695" s="100">
        <v>43970</v>
      </c>
      <c r="AE695" s="66"/>
      <c r="AF695" s="66"/>
      <c r="AG695" s="66">
        <f>43970+3893.13</f>
        <v>47863.13</v>
      </c>
      <c r="AH695" s="66"/>
      <c r="AI695" s="65"/>
      <c r="AJ695" s="65">
        <f>43970</f>
        <v>43970</v>
      </c>
      <c r="AK695" s="65"/>
      <c r="AL695" s="65"/>
      <c r="AM695" s="65">
        <f>43970</f>
        <v>43970</v>
      </c>
      <c r="AN695" s="65"/>
      <c r="AO695" s="65"/>
      <c r="AP695" s="65">
        <f>43970</f>
        <v>43970</v>
      </c>
      <c r="AQ695" s="65"/>
      <c r="AR695" s="65"/>
      <c r="AS695" s="65"/>
      <c r="AT695" s="65"/>
      <c r="AU695" s="65"/>
      <c r="AV695" s="65"/>
      <c r="AW695" s="65"/>
      <c r="AX695" s="65"/>
      <c r="AY695" s="65"/>
      <c r="AZ695" s="65"/>
      <c r="BA695" s="65"/>
      <c r="BB695" s="65"/>
      <c r="BC695" s="65"/>
      <c r="BD695" s="65"/>
      <c r="BE695" s="65"/>
      <c r="BF695" s="65"/>
      <c r="BG695" s="65"/>
      <c r="BH695" s="65"/>
      <c r="BI695" s="65"/>
      <c r="BJ695" s="65"/>
      <c r="BK695" s="65">
        <v>0</v>
      </c>
      <c r="BL695" s="65">
        <v>0</v>
      </c>
      <c r="BM695" s="65">
        <v>0</v>
      </c>
      <c r="BN695" s="65">
        <f t="shared" si="3548"/>
        <v>223743.13</v>
      </c>
      <c r="BO695" s="67">
        <f t="shared" si="3549"/>
        <v>0</v>
      </c>
      <c r="BP695" s="65">
        <f t="shared" si="3550"/>
        <v>223743.13</v>
      </c>
      <c r="BQ695" s="65">
        <f t="shared" si="3551"/>
        <v>359558.82000000007</v>
      </c>
      <c r="BR695" s="65">
        <f t="shared" si="3552"/>
        <v>0</v>
      </c>
      <c r="BS695" s="65">
        <f t="shared" si="3553"/>
        <v>359558.82000000007</v>
      </c>
      <c r="BT695" s="65">
        <f t="shared" si="3554"/>
        <v>0</v>
      </c>
      <c r="BU695" s="65">
        <f t="shared" si="3555"/>
        <v>223743.13</v>
      </c>
      <c r="BV695" s="65">
        <f t="shared" si="3556"/>
        <v>359558.82000000007</v>
      </c>
      <c r="BW695" s="65">
        <f t="shared" si="3557"/>
        <v>583301.95000000007</v>
      </c>
      <c r="BX695" s="6"/>
      <c r="BY695" s="6"/>
      <c r="BZ695" s="6"/>
      <c r="CA695" s="6"/>
      <c r="CB695" s="6"/>
      <c r="CC695" s="6"/>
      <c r="CD695" s="6"/>
      <c r="CE695" s="6"/>
      <c r="CF695" s="6"/>
      <c r="CG695" s="6"/>
    </row>
    <row r="696" spans="1:85" ht="15.75" customHeight="1">
      <c r="A696" s="68"/>
      <c r="B696" s="68" t="s">
        <v>848</v>
      </c>
      <c r="C696" s="68" t="s">
        <v>138</v>
      </c>
      <c r="D696" s="122" t="s">
        <v>849</v>
      </c>
      <c r="E696" s="99">
        <v>0</v>
      </c>
      <c r="F696" s="99">
        <v>0</v>
      </c>
      <c r="G696" s="58">
        <f t="shared" si="3541"/>
        <v>0</v>
      </c>
      <c r="H696" s="99">
        <v>0</v>
      </c>
      <c r="I696" s="59">
        <f t="shared" si="3007"/>
        <v>0</v>
      </c>
      <c r="J696" s="59">
        <f t="shared" si="2705"/>
        <v>0</v>
      </c>
      <c r="K696" s="74">
        <v>0</v>
      </c>
      <c r="L696" s="74">
        <v>5214.32</v>
      </c>
      <c r="M696" s="74">
        <v>0</v>
      </c>
      <c r="N696" s="74">
        <v>0</v>
      </c>
      <c r="O696" s="61">
        <f t="shared" ref="O696:Q696" si="3561">AA696+AD696+AG696+AJ696+AM696+AP696+AS696+AV696+AY696+BB696+BE696+BH696</f>
        <v>0</v>
      </c>
      <c r="P696" s="61">
        <f t="shared" si="3561"/>
        <v>0</v>
      </c>
      <c r="Q696" s="61">
        <f t="shared" si="3561"/>
        <v>0</v>
      </c>
      <c r="R696" s="61">
        <f t="shared" ref="R696:T696" si="3562">IF(BK696=0,SUM(AA696+AD696+AG696+AJ696+AM696+AP696+AS696+AV696+AY696+BB696+BE696+BH696),BK696)</f>
        <v>0</v>
      </c>
      <c r="S696" s="61">
        <f t="shared" si="3562"/>
        <v>0</v>
      </c>
      <c r="T696" s="61">
        <f t="shared" si="3562"/>
        <v>0</v>
      </c>
      <c r="U696" s="63">
        <f t="shared" si="3544"/>
        <v>0</v>
      </c>
      <c r="V696" s="116">
        <f t="shared" si="3545"/>
        <v>5214.32</v>
      </c>
      <c r="W696" s="63">
        <f t="shared" si="3546"/>
        <v>0</v>
      </c>
      <c r="X696" s="64">
        <f t="shared" ref="X696:Y696" si="3563">IF(O696&gt;0,O696/K696,0)</f>
        <v>0</v>
      </c>
      <c r="Y696" s="64">
        <f t="shared" si="3563"/>
        <v>0</v>
      </c>
      <c r="Z696" s="64">
        <f t="shared" si="3511"/>
        <v>0</v>
      </c>
      <c r="AA696" s="65"/>
      <c r="AB696" s="65"/>
      <c r="AC696" s="65"/>
      <c r="AD696" s="65"/>
      <c r="AE696" s="66"/>
      <c r="AF696" s="66"/>
      <c r="AG696" s="66"/>
      <c r="AH696" s="66"/>
      <c r="AI696" s="65"/>
      <c r="AJ696" s="65"/>
      <c r="AK696" s="65"/>
      <c r="AL696" s="65"/>
      <c r="AM696" s="65"/>
      <c r="AN696" s="65"/>
      <c r="AO696" s="65"/>
      <c r="AP696" s="65"/>
      <c r="AQ696" s="65"/>
      <c r="AR696" s="65"/>
      <c r="AS696" s="65"/>
      <c r="AT696" s="65"/>
      <c r="AU696" s="65"/>
      <c r="AV696" s="65"/>
      <c r="AW696" s="65"/>
      <c r="AX696" s="65"/>
      <c r="AY696" s="65"/>
      <c r="AZ696" s="65"/>
      <c r="BA696" s="65"/>
      <c r="BB696" s="65"/>
      <c r="BC696" s="65"/>
      <c r="BD696" s="65"/>
      <c r="BE696" s="65"/>
      <c r="BF696" s="65"/>
      <c r="BG696" s="65"/>
      <c r="BH696" s="65"/>
      <c r="BI696" s="65"/>
      <c r="BJ696" s="65"/>
      <c r="BK696" s="65">
        <v>0</v>
      </c>
      <c r="BL696" s="65">
        <v>0</v>
      </c>
      <c r="BM696" s="65">
        <v>0</v>
      </c>
      <c r="BN696" s="65">
        <f t="shared" si="3548"/>
        <v>0</v>
      </c>
      <c r="BO696" s="67">
        <f t="shared" si="3549"/>
        <v>0</v>
      </c>
      <c r="BP696" s="65">
        <f t="shared" si="3550"/>
        <v>0</v>
      </c>
      <c r="BQ696" s="65">
        <f t="shared" si="3551"/>
        <v>0</v>
      </c>
      <c r="BR696" s="65">
        <f t="shared" si="3552"/>
        <v>0</v>
      </c>
      <c r="BS696" s="65">
        <f t="shared" si="3553"/>
        <v>0</v>
      </c>
      <c r="BT696" s="65">
        <f t="shared" si="3554"/>
        <v>5214.32</v>
      </c>
      <c r="BU696" s="65">
        <f t="shared" si="3555"/>
        <v>0</v>
      </c>
      <c r="BV696" s="65">
        <f t="shared" si="3556"/>
        <v>0</v>
      </c>
      <c r="BW696" s="65">
        <f t="shared" si="3557"/>
        <v>5214.32</v>
      </c>
      <c r="BX696" s="6"/>
      <c r="BY696" s="6"/>
      <c r="BZ696" s="6"/>
      <c r="CA696" s="6"/>
      <c r="CB696" s="6"/>
      <c r="CC696" s="6"/>
      <c r="CD696" s="6"/>
      <c r="CE696" s="6"/>
      <c r="CF696" s="6"/>
      <c r="CG696" s="6"/>
    </row>
    <row r="697" spans="1:85" ht="15.75">
      <c r="A697" s="75"/>
      <c r="B697" s="76"/>
      <c r="C697" s="77"/>
      <c r="D697" s="44" t="s">
        <v>168</v>
      </c>
      <c r="E697" s="45">
        <f t="shared" ref="E697:H697" si="3564">SUM(E698:E704)</f>
        <v>182500</v>
      </c>
      <c r="F697" s="46">
        <f t="shared" si="3564"/>
        <v>0</v>
      </c>
      <c r="G697" s="46">
        <f t="shared" si="3564"/>
        <v>182500</v>
      </c>
      <c r="H697" s="46">
        <f t="shared" si="3564"/>
        <v>0</v>
      </c>
      <c r="I697" s="47">
        <f t="shared" si="3007"/>
        <v>0.28884542465753427</v>
      </c>
      <c r="J697" s="47">
        <f t="shared" si="2705"/>
        <v>6.6349369863013694E-2</v>
      </c>
      <c r="K697" s="46">
        <f t="shared" ref="K697:W697" si="3565">SUM(K698:K704)</f>
        <v>52714.29</v>
      </c>
      <c r="L697" s="46">
        <f t="shared" si="3565"/>
        <v>17801.120000000003</v>
      </c>
      <c r="M697" s="46">
        <f t="shared" si="3565"/>
        <v>0</v>
      </c>
      <c r="N697" s="46">
        <f t="shared" si="3565"/>
        <v>0</v>
      </c>
      <c r="O697" s="46">
        <f t="shared" si="3565"/>
        <v>12108.76</v>
      </c>
      <c r="P697" s="46">
        <f t="shared" si="3565"/>
        <v>11665.150000000001</v>
      </c>
      <c r="Q697" s="46">
        <f t="shared" si="3565"/>
        <v>0</v>
      </c>
      <c r="R697" s="46">
        <f t="shared" si="3565"/>
        <v>12108.76</v>
      </c>
      <c r="S697" s="46">
        <f t="shared" si="3565"/>
        <v>11665.150000000001</v>
      </c>
      <c r="T697" s="46">
        <f t="shared" si="3565"/>
        <v>0</v>
      </c>
      <c r="U697" s="46">
        <f t="shared" si="3565"/>
        <v>40605.53</v>
      </c>
      <c r="V697" s="46">
        <f t="shared" si="3565"/>
        <v>6135.97</v>
      </c>
      <c r="W697" s="46">
        <f t="shared" si="3565"/>
        <v>0</v>
      </c>
      <c r="X697" s="50">
        <f t="shared" ref="X697:Y697" si="3566">IF(O697&gt;0,O697/K697,0)</f>
        <v>0.22970545557950225</v>
      </c>
      <c r="Y697" s="50">
        <f t="shared" si="3566"/>
        <v>0.65530427298956473</v>
      </c>
      <c r="Z697" s="50">
        <f t="shared" si="3511"/>
        <v>0</v>
      </c>
      <c r="AA697" s="46">
        <f t="shared" ref="AA697:BW697" si="3567">SUM(AA698:AA704)</f>
        <v>0</v>
      </c>
      <c r="AB697" s="46">
        <f t="shared" si="3567"/>
        <v>2002</v>
      </c>
      <c r="AC697" s="46">
        <f t="shared" si="3567"/>
        <v>0</v>
      </c>
      <c r="AD697" s="46">
        <f t="shared" si="3567"/>
        <v>0</v>
      </c>
      <c r="AE697" s="46">
        <f t="shared" si="3567"/>
        <v>1304</v>
      </c>
      <c r="AF697" s="46">
        <f t="shared" si="3567"/>
        <v>0</v>
      </c>
      <c r="AG697" s="46">
        <f t="shared" si="3567"/>
        <v>0</v>
      </c>
      <c r="AH697" s="46">
        <f t="shared" si="3567"/>
        <v>1395</v>
      </c>
      <c r="AI697" s="46">
        <f t="shared" si="3567"/>
        <v>0</v>
      </c>
      <c r="AJ697" s="46">
        <f t="shared" si="3567"/>
        <v>0</v>
      </c>
      <c r="AK697" s="46">
        <f t="shared" si="3567"/>
        <v>6137.8</v>
      </c>
      <c r="AL697" s="46">
        <f t="shared" si="3567"/>
        <v>0</v>
      </c>
      <c r="AM697" s="46">
        <f t="shared" si="3567"/>
        <v>0</v>
      </c>
      <c r="AN697" s="46">
        <f t="shared" si="3567"/>
        <v>823</v>
      </c>
      <c r="AO697" s="46">
        <f t="shared" si="3567"/>
        <v>0</v>
      </c>
      <c r="AP697" s="46">
        <f t="shared" si="3567"/>
        <v>12108.76</v>
      </c>
      <c r="AQ697" s="46">
        <f t="shared" si="3567"/>
        <v>3.35</v>
      </c>
      <c r="AR697" s="46">
        <f t="shared" si="3567"/>
        <v>0</v>
      </c>
      <c r="AS697" s="46">
        <f t="shared" si="3567"/>
        <v>0</v>
      </c>
      <c r="AT697" s="46">
        <f t="shared" si="3567"/>
        <v>0</v>
      </c>
      <c r="AU697" s="46">
        <f t="shared" si="3567"/>
        <v>0</v>
      </c>
      <c r="AV697" s="46">
        <f t="shared" si="3567"/>
        <v>0</v>
      </c>
      <c r="AW697" s="46">
        <f t="shared" si="3567"/>
        <v>0</v>
      </c>
      <c r="AX697" s="46">
        <f t="shared" si="3567"/>
        <v>0</v>
      </c>
      <c r="AY697" s="46">
        <f t="shared" si="3567"/>
        <v>0</v>
      </c>
      <c r="AZ697" s="46">
        <f t="shared" si="3567"/>
        <v>0</v>
      </c>
      <c r="BA697" s="46">
        <f t="shared" si="3567"/>
        <v>0</v>
      </c>
      <c r="BB697" s="46">
        <f t="shared" si="3567"/>
        <v>0</v>
      </c>
      <c r="BC697" s="46">
        <f t="shared" si="3567"/>
        <v>0</v>
      </c>
      <c r="BD697" s="46">
        <f t="shared" si="3567"/>
        <v>0</v>
      </c>
      <c r="BE697" s="46">
        <f t="shared" si="3567"/>
        <v>0</v>
      </c>
      <c r="BF697" s="46">
        <f t="shared" si="3567"/>
        <v>0</v>
      </c>
      <c r="BG697" s="46">
        <f t="shared" si="3567"/>
        <v>0</v>
      </c>
      <c r="BH697" s="46">
        <f t="shared" si="3567"/>
        <v>0</v>
      </c>
      <c r="BI697" s="46">
        <f t="shared" si="3567"/>
        <v>0</v>
      </c>
      <c r="BJ697" s="46">
        <f t="shared" si="3567"/>
        <v>0</v>
      </c>
      <c r="BK697" s="46">
        <f t="shared" si="3567"/>
        <v>0</v>
      </c>
      <c r="BL697" s="46">
        <f t="shared" si="3567"/>
        <v>0</v>
      </c>
      <c r="BM697" s="46">
        <f t="shared" si="3567"/>
        <v>0</v>
      </c>
      <c r="BN697" s="46">
        <f t="shared" si="3567"/>
        <v>12108.76</v>
      </c>
      <c r="BO697" s="46">
        <f t="shared" si="3567"/>
        <v>0</v>
      </c>
      <c r="BP697" s="46">
        <f t="shared" si="3567"/>
        <v>12108.76</v>
      </c>
      <c r="BQ697" s="46">
        <f t="shared" si="3567"/>
        <v>40605.53</v>
      </c>
      <c r="BR697" s="46">
        <f t="shared" si="3567"/>
        <v>0</v>
      </c>
      <c r="BS697" s="46">
        <f t="shared" si="3567"/>
        <v>40605.53</v>
      </c>
      <c r="BT697" s="46">
        <f t="shared" si="3567"/>
        <v>6135.97</v>
      </c>
      <c r="BU697" s="46">
        <f t="shared" si="3567"/>
        <v>12108.76</v>
      </c>
      <c r="BV697" s="46">
        <f t="shared" si="3567"/>
        <v>40605.53</v>
      </c>
      <c r="BW697" s="46">
        <f t="shared" si="3567"/>
        <v>58850.26</v>
      </c>
      <c r="BX697" s="51"/>
      <c r="BY697" s="51"/>
      <c r="BZ697" s="51"/>
      <c r="CA697" s="51"/>
      <c r="CB697" s="51"/>
      <c r="CC697" s="51"/>
      <c r="CD697" s="51"/>
      <c r="CE697" s="51"/>
      <c r="CF697" s="51"/>
      <c r="CG697" s="51"/>
    </row>
    <row r="698" spans="1:85" ht="15.75" customHeight="1">
      <c r="A698" s="104" t="s">
        <v>850</v>
      </c>
      <c r="B698" s="68"/>
      <c r="C698" s="104" t="s">
        <v>851</v>
      </c>
      <c r="D698" s="124" t="s">
        <v>852</v>
      </c>
      <c r="E698" s="57">
        <v>0</v>
      </c>
      <c r="F698" s="99">
        <v>0</v>
      </c>
      <c r="G698" s="58">
        <f t="shared" ref="G698:G704" si="3568">E698-F698</f>
        <v>0</v>
      </c>
      <c r="H698" s="99">
        <v>0</v>
      </c>
      <c r="I698" s="59">
        <f t="shared" si="3007"/>
        <v>0</v>
      </c>
      <c r="J698" s="59">
        <f t="shared" si="2705"/>
        <v>0</v>
      </c>
      <c r="K698" s="74">
        <f>9179.8</f>
        <v>9179.7999999999993</v>
      </c>
      <c r="L698" s="376">
        <v>0</v>
      </c>
      <c r="M698" s="100">
        <v>0</v>
      </c>
      <c r="N698" s="60">
        <v>0</v>
      </c>
      <c r="O698" s="61">
        <f t="shared" ref="O698:Q698" si="3569">AA698+AD698+AG698+AJ698+AM698+AP698+AS698+AV698+AY698+BB698+BE698+BH698</f>
        <v>0</v>
      </c>
      <c r="P698" s="61">
        <f t="shared" si="3569"/>
        <v>0</v>
      </c>
      <c r="Q698" s="61">
        <f t="shared" si="3569"/>
        <v>0</v>
      </c>
      <c r="R698" s="61">
        <f t="shared" ref="R698:T698" si="3570">IF(BK698=0,SUM(AA698+AD698+AG698+AJ698+AM698+AP698+AS698+AV698+AY698+BB698+BE698+BH698),BK698)</f>
        <v>0</v>
      </c>
      <c r="S698" s="61">
        <f t="shared" si="3570"/>
        <v>0</v>
      </c>
      <c r="T698" s="61">
        <f t="shared" si="3570"/>
        <v>0</v>
      </c>
      <c r="U698" s="62">
        <f t="shared" ref="U698:U704" si="3571">K698-O698</f>
        <v>9179.7999999999993</v>
      </c>
      <c r="V698" s="63">
        <f t="shared" ref="V698:V704" si="3572">L698-M698-S698</f>
        <v>0</v>
      </c>
      <c r="W698" s="63">
        <f t="shared" ref="W698:W704" si="3573">N698-Q698</f>
        <v>0</v>
      </c>
      <c r="X698" s="64">
        <f t="shared" ref="X698:Y698" si="3574">IF(O698&gt;0,O698/K698,0)</f>
        <v>0</v>
      </c>
      <c r="Y698" s="64">
        <f t="shared" si="3574"/>
        <v>0</v>
      </c>
      <c r="Z698" s="64">
        <f t="shared" si="3511"/>
        <v>0</v>
      </c>
      <c r="AA698" s="65"/>
      <c r="AB698" s="65"/>
      <c r="AC698" s="65"/>
      <c r="AD698" s="65"/>
      <c r="AE698" s="66"/>
      <c r="AF698" s="66"/>
      <c r="AG698" s="66"/>
      <c r="AH698" s="66"/>
      <c r="AI698" s="65"/>
      <c r="AJ698" s="65"/>
      <c r="AK698" s="65"/>
      <c r="AL698" s="65"/>
      <c r="AM698" s="65"/>
      <c r="AN698" s="65"/>
      <c r="AO698" s="65"/>
      <c r="AP698" s="65"/>
      <c r="AQ698" s="65"/>
      <c r="AR698" s="65"/>
      <c r="AS698" s="65"/>
      <c r="AT698" s="65"/>
      <c r="AU698" s="65"/>
      <c r="AV698" s="65"/>
      <c r="AW698" s="65"/>
      <c r="AX698" s="65"/>
      <c r="AY698" s="65"/>
      <c r="AZ698" s="65"/>
      <c r="BA698" s="65"/>
      <c r="BB698" s="65"/>
      <c r="BC698" s="65"/>
      <c r="BD698" s="65"/>
      <c r="BE698" s="65"/>
      <c r="BF698" s="65"/>
      <c r="BG698" s="65"/>
      <c r="BH698" s="65"/>
      <c r="BI698" s="65"/>
      <c r="BJ698" s="65"/>
      <c r="BK698" s="65">
        <v>0</v>
      </c>
      <c r="BL698" s="65">
        <v>0</v>
      </c>
      <c r="BM698" s="65">
        <v>0</v>
      </c>
      <c r="BN698" s="65">
        <f t="shared" ref="BN698:BN704" si="3575">IF(O698-BK698&gt;0,O698-BK698,0)</f>
        <v>0</v>
      </c>
      <c r="BO698" s="67">
        <f t="shared" ref="BO698:BO704" si="3576">IF(Q698-BM698&gt;0,Q698-BM698,0)</f>
        <v>0</v>
      </c>
      <c r="BP698" s="65">
        <f t="shared" ref="BP698:BP704" si="3577">IF(BN698+BO698&gt;0,BN698+BO698,0)</f>
        <v>0</v>
      </c>
      <c r="BQ698" s="65">
        <f t="shared" ref="BQ698:BQ704" si="3578">IF(U698=0,0,U698)</f>
        <v>9179.7999999999993</v>
      </c>
      <c r="BR698" s="65">
        <f t="shared" ref="BR698:BR704" si="3579">IF(W698=0,0,W698)</f>
        <v>0</v>
      </c>
      <c r="BS698" s="65">
        <f t="shared" ref="BS698:BS704" si="3580">IF(BQ698+BR698&gt;0,BQ698+BR698,0)</f>
        <v>9179.7999999999993</v>
      </c>
      <c r="BT698" s="65">
        <f t="shared" ref="BT698:BT704" si="3581">IF(V698&gt;0,V698,0)</f>
        <v>0</v>
      </c>
      <c r="BU698" s="65">
        <f t="shared" ref="BU698:BU704" si="3582">IF(BP698=0,0,BP698)</f>
        <v>0</v>
      </c>
      <c r="BV698" s="65">
        <f t="shared" ref="BV698:BV704" si="3583">IF(BS698=0,0,BS698)</f>
        <v>9179.7999999999993</v>
      </c>
      <c r="BW698" s="65">
        <f t="shared" ref="BW698:BW704" si="3584">IF(BP698+BT698+BV698&gt;0,BP698+BT698+BV698,0)</f>
        <v>9179.7999999999993</v>
      </c>
      <c r="BX698" s="6"/>
      <c r="BY698" s="6"/>
      <c r="BZ698" s="6"/>
      <c r="CA698" s="6"/>
      <c r="CB698" s="6"/>
      <c r="CC698" s="6"/>
      <c r="CD698" s="6"/>
      <c r="CE698" s="6"/>
      <c r="CF698" s="6"/>
      <c r="CG698" s="6"/>
    </row>
    <row r="699" spans="1:85" ht="15.75" customHeight="1">
      <c r="A699" s="68"/>
      <c r="B699" s="68" t="s">
        <v>853</v>
      </c>
      <c r="C699" s="68" t="s">
        <v>181</v>
      </c>
      <c r="D699" s="122" t="s">
        <v>854</v>
      </c>
      <c r="E699" s="56">
        <v>40000</v>
      </c>
      <c r="F699" s="99">
        <v>0</v>
      </c>
      <c r="G699" s="58">
        <f t="shared" si="3568"/>
        <v>40000</v>
      </c>
      <c r="H699" s="99">
        <v>0</v>
      </c>
      <c r="I699" s="59">
        <f t="shared" si="3007"/>
        <v>0</v>
      </c>
      <c r="J699" s="59">
        <f t="shared" si="2705"/>
        <v>0</v>
      </c>
      <c r="K699" s="74">
        <v>0</v>
      </c>
      <c r="L699" s="376">
        <v>10873.77</v>
      </c>
      <c r="M699" s="100">
        <v>0</v>
      </c>
      <c r="N699" s="60">
        <v>0</v>
      </c>
      <c r="O699" s="61">
        <f t="shared" ref="O699:Q699" si="3585">AA699+AD699+AG699+AJ699+AM699+AP699+AS699+AV699+AY699+BB699+BE699+BH699</f>
        <v>0</v>
      </c>
      <c r="P699" s="61">
        <f t="shared" si="3585"/>
        <v>4737.8</v>
      </c>
      <c r="Q699" s="61">
        <f t="shared" si="3585"/>
        <v>0</v>
      </c>
      <c r="R699" s="61">
        <f t="shared" ref="R699:T699" si="3586">IF(BK699=0,SUM(AA699+AD699+AG699+AJ699+AM699+AP699+AS699+AV699+AY699+BB699+BE699+BH699),BK699)</f>
        <v>0</v>
      </c>
      <c r="S699" s="61">
        <f t="shared" si="3586"/>
        <v>4737.8</v>
      </c>
      <c r="T699" s="61">
        <f t="shared" si="3586"/>
        <v>0</v>
      </c>
      <c r="U699" s="63">
        <f t="shared" si="3571"/>
        <v>0</v>
      </c>
      <c r="V699" s="62">
        <f t="shared" si="3572"/>
        <v>6135.97</v>
      </c>
      <c r="W699" s="63">
        <f t="shared" si="3573"/>
        <v>0</v>
      </c>
      <c r="X699" s="64">
        <f t="shared" ref="X699:Y699" si="3587">IF(O699&gt;0,O699/K699,0)</f>
        <v>0</v>
      </c>
      <c r="Y699" s="64">
        <f t="shared" si="3587"/>
        <v>0.43570905031097767</v>
      </c>
      <c r="Z699" s="64">
        <f t="shared" si="3511"/>
        <v>0</v>
      </c>
      <c r="AA699" s="65"/>
      <c r="AB699" s="65"/>
      <c r="AC699" s="65"/>
      <c r="AD699" s="65"/>
      <c r="AE699" s="66"/>
      <c r="AF699" s="66"/>
      <c r="AG699" s="66"/>
      <c r="AH699" s="66"/>
      <c r="AI699" s="65"/>
      <c r="AJ699" s="65"/>
      <c r="AK699" s="100">
        <v>4737.8</v>
      </c>
      <c r="AL699" s="65"/>
      <c r="AM699" s="65"/>
      <c r="AN699" s="65"/>
      <c r="AO699" s="65"/>
      <c r="AP699" s="65"/>
      <c r="AQ699" s="65"/>
      <c r="AR699" s="65"/>
      <c r="AS699" s="65"/>
      <c r="AT699" s="65"/>
      <c r="AU699" s="65"/>
      <c r="AV699" s="65"/>
      <c r="AW699" s="65"/>
      <c r="AX699" s="65"/>
      <c r="AY699" s="65"/>
      <c r="AZ699" s="65"/>
      <c r="BA699" s="65"/>
      <c r="BB699" s="65"/>
      <c r="BC699" s="65"/>
      <c r="BD699" s="65"/>
      <c r="BE699" s="65"/>
      <c r="BF699" s="65"/>
      <c r="BG699" s="65"/>
      <c r="BH699" s="65"/>
      <c r="BI699" s="65"/>
      <c r="BJ699" s="65"/>
      <c r="BK699" s="65">
        <v>0</v>
      </c>
      <c r="BL699" s="65">
        <v>0</v>
      </c>
      <c r="BM699" s="65">
        <v>0</v>
      </c>
      <c r="BN699" s="65">
        <f t="shared" si="3575"/>
        <v>0</v>
      </c>
      <c r="BO699" s="67">
        <f t="shared" si="3576"/>
        <v>0</v>
      </c>
      <c r="BP699" s="65">
        <f t="shared" si="3577"/>
        <v>0</v>
      </c>
      <c r="BQ699" s="65">
        <f t="shared" si="3578"/>
        <v>0</v>
      </c>
      <c r="BR699" s="65">
        <f t="shared" si="3579"/>
        <v>0</v>
      </c>
      <c r="BS699" s="65">
        <f t="shared" si="3580"/>
        <v>0</v>
      </c>
      <c r="BT699" s="65">
        <f t="shared" si="3581"/>
        <v>6135.97</v>
      </c>
      <c r="BU699" s="65">
        <f t="shared" si="3582"/>
        <v>0</v>
      </c>
      <c r="BV699" s="65">
        <f t="shared" si="3583"/>
        <v>0</v>
      </c>
      <c r="BW699" s="65">
        <f t="shared" si="3584"/>
        <v>6135.97</v>
      </c>
      <c r="BX699" s="6"/>
      <c r="BY699" s="6"/>
      <c r="BZ699" s="6"/>
      <c r="CA699" s="6"/>
      <c r="CB699" s="6"/>
      <c r="CC699" s="6"/>
      <c r="CD699" s="6"/>
      <c r="CE699" s="6"/>
      <c r="CF699" s="6"/>
      <c r="CG699" s="6"/>
    </row>
    <row r="700" spans="1:85" ht="15.75" customHeight="1">
      <c r="A700" s="68"/>
      <c r="B700" s="103"/>
      <c r="C700" s="68" t="s">
        <v>181</v>
      </c>
      <c r="D700" s="122" t="s">
        <v>855</v>
      </c>
      <c r="E700" s="99">
        <v>0</v>
      </c>
      <c r="F700" s="99">
        <v>0</v>
      </c>
      <c r="G700" s="58">
        <f t="shared" si="3568"/>
        <v>0</v>
      </c>
      <c r="H700" s="99">
        <v>0</v>
      </c>
      <c r="I700" s="59">
        <f t="shared" si="3007"/>
        <v>0</v>
      </c>
      <c r="J700" s="59">
        <f t="shared" si="2705"/>
        <v>0</v>
      </c>
      <c r="K700" s="74">
        <v>0</v>
      </c>
      <c r="L700" s="74">
        <v>0</v>
      </c>
      <c r="M700" s="74">
        <v>0</v>
      </c>
      <c r="N700" s="74">
        <v>0</v>
      </c>
      <c r="O700" s="61">
        <f t="shared" ref="O700:Q700" si="3588">AA700+AD700+AG700+AJ700+AM700+AP700+AS700+AV700+AY700+BB700+BE700+BH700</f>
        <v>0</v>
      </c>
      <c r="P700" s="61">
        <f t="shared" si="3588"/>
        <v>0</v>
      </c>
      <c r="Q700" s="61">
        <f t="shared" si="3588"/>
        <v>0</v>
      </c>
      <c r="R700" s="61">
        <f t="shared" ref="R700:T700" si="3589">IF(BK700=0,SUM(AA700+AD700+AG700+AJ700+AM700+AP700+AS700+AV700+AY700+BB700+BE700+BH700),BK700)</f>
        <v>0</v>
      </c>
      <c r="S700" s="61">
        <f t="shared" si="3589"/>
        <v>0</v>
      </c>
      <c r="T700" s="61">
        <f t="shared" si="3589"/>
        <v>0</v>
      </c>
      <c r="U700" s="63">
        <f t="shared" si="3571"/>
        <v>0</v>
      </c>
      <c r="V700" s="63">
        <f t="shared" si="3572"/>
        <v>0</v>
      </c>
      <c r="W700" s="63">
        <f t="shared" si="3573"/>
        <v>0</v>
      </c>
      <c r="X700" s="64">
        <f t="shared" ref="X700:Y700" si="3590">IF(O700&gt;0,O700/K700,0)</f>
        <v>0</v>
      </c>
      <c r="Y700" s="64">
        <f t="shared" si="3590"/>
        <v>0</v>
      </c>
      <c r="Z700" s="64">
        <f t="shared" si="3511"/>
        <v>0</v>
      </c>
      <c r="AA700" s="65"/>
      <c r="AB700" s="65"/>
      <c r="AC700" s="65"/>
      <c r="AD700" s="65"/>
      <c r="AE700" s="66"/>
      <c r="AF700" s="66"/>
      <c r="AG700" s="66"/>
      <c r="AH700" s="66"/>
      <c r="AI700" s="65"/>
      <c r="AJ700" s="65"/>
      <c r="AK700" s="65"/>
      <c r="AL700" s="65"/>
      <c r="AM700" s="65"/>
      <c r="AN700" s="65"/>
      <c r="AO700" s="65"/>
      <c r="AP700" s="65"/>
      <c r="AQ700" s="65"/>
      <c r="AR700" s="65"/>
      <c r="AS700" s="65"/>
      <c r="AT700" s="65"/>
      <c r="AU700" s="65"/>
      <c r="AV700" s="65"/>
      <c r="AW700" s="65"/>
      <c r="AX700" s="65"/>
      <c r="AY700" s="65"/>
      <c r="AZ700" s="65"/>
      <c r="BA700" s="65"/>
      <c r="BB700" s="65"/>
      <c r="BC700" s="65"/>
      <c r="BD700" s="65"/>
      <c r="BE700" s="65"/>
      <c r="BF700" s="65"/>
      <c r="BG700" s="65"/>
      <c r="BH700" s="65"/>
      <c r="BI700" s="65"/>
      <c r="BJ700" s="65"/>
      <c r="BK700" s="65">
        <v>0</v>
      </c>
      <c r="BL700" s="65">
        <v>0</v>
      </c>
      <c r="BM700" s="65">
        <v>0</v>
      </c>
      <c r="BN700" s="65">
        <f t="shared" si="3575"/>
        <v>0</v>
      </c>
      <c r="BO700" s="67">
        <f t="shared" si="3576"/>
        <v>0</v>
      </c>
      <c r="BP700" s="65">
        <f t="shared" si="3577"/>
        <v>0</v>
      </c>
      <c r="BQ700" s="65">
        <f t="shared" si="3578"/>
        <v>0</v>
      </c>
      <c r="BR700" s="65">
        <f t="shared" si="3579"/>
        <v>0</v>
      </c>
      <c r="BS700" s="65">
        <f t="shared" si="3580"/>
        <v>0</v>
      </c>
      <c r="BT700" s="65">
        <f t="shared" si="3581"/>
        <v>0</v>
      </c>
      <c r="BU700" s="65">
        <f t="shared" si="3582"/>
        <v>0</v>
      </c>
      <c r="BV700" s="65">
        <f t="shared" si="3583"/>
        <v>0</v>
      </c>
      <c r="BW700" s="65">
        <f t="shared" si="3584"/>
        <v>0</v>
      </c>
      <c r="BX700" s="6"/>
      <c r="BY700" s="6"/>
      <c r="BZ700" s="6"/>
      <c r="CA700" s="6"/>
      <c r="CB700" s="6"/>
      <c r="CC700" s="6"/>
      <c r="CD700" s="6"/>
      <c r="CE700" s="6"/>
      <c r="CF700" s="6"/>
      <c r="CG700" s="6"/>
    </row>
    <row r="701" spans="1:85" ht="15.75" customHeight="1">
      <c r="A701" s="71"/>
      <c r="B701" s="103"/>
      <c r="C701" s="68" t="s">
        <v>198</v>
      </c>
      <c r="D701" s="171" t="s">
        <v>199</v>
      </c>
      <c r="E701" s="56">
        <v>72500</v>
      </c>
      <c r="F701" s="99">
        <v>0</v>
      </c>
      <c r="G701" s="58">
        <f t="shared" si="3568"/>
        <v>72500</v>
      </c>
      <c r="H701" s="99">
        <v>0</v>
      </c>
      <c r="I701" s="59">
        <f t="shared" si="3007"/>
        <v>0</v>
      </c>
      <c r="J701" s="59">
        <f t="shared" si="2705"/>
        <v>0</v>
      </c>
      <c r="K701" s="74">
        <v>0</v>
      </c>
      <c r="L701" s="74">
        <v>0</v>
      </c>
      <c r="M701" s="74">
        <v>0</v>
      </c>
      <c r="N701" s="74">
        <v>0</v>
      </c>
      <c r="O701" s="61">
        <f t="shared" ref="O701:Q701" si="3591">AA701+AD701+AG701+AJ701+AM701+AP701+AS701+AV701+AY701+BB701+BE701+BH701</f>
        <v>0</v>
      </c>
      <c r="P701" s="61">
        <f t="shared" si="3591"/>
        <v>0</v>
      </c>
      <c r="Q701" s="61">
        <f t="shared" si="3591"/>
        <v>0</v>
      </c>
      <c r="R701" s="61">
        <f t="shared" ref="R701:T701" si="3592">IF(BK701=0,SUM(AA701+AD701+AG701+AJ701+AM701+AP701+AS701+AV701+AY701+BB701+BE701+BH701),BK701)</f>
        <v>0</v>
      </c>
      <c r="S701" s="61">
        <f t="shared" si="3592"/>
        <v>0</v>
      </c>
      <c r="T701" s="61">
        <f t="shared" si="3592"/>
        <v>0</v>
      </c>
      <c r="U701" s="63">
        <f t="shared" si="3571"/>
        <v>0</v>
      </c>
      <c r="V701" s="63">
        <f t="shared" si="3572"/>
        <v>0</v>
      </c>
      <c r="W701" s="63">
        <f t="shared" si="3573"/>
        <v>0</v>
      </c>
      <c r="X701" s="64">
        <f t="shared" ref="X701:Y701" si="3593">IF(O701&gt;0,O701/K701,0)</f>
        <v>0</v>
      </c>
      <c r="Y701" s="64">
        <f t="shared" si="3593"/>
        <v>0</v>
      </c>
      <c r="Z701" s="64">
        <f t="shared" si="3511"/>
        <v>0</v>
      </c>
      <c r="AA701" s="65"/>
      <c r="AB701" s="65"/>
      <c r="AC701" s="65"/>
      <c r="AD701" s="65"/>
      <c r="AE701" s="66"/>
      <c r="AF701" s="66"/>
      <c r="AG701" s="66"/>
      <c r="AH701" s="66"/>
      <c r="AI701" s="65"/>
      <c r="AJ701" s="65"/>
      <c r="AK701" s="65"/>
      <c r="AL701" s="65"/>
      <c r="AM701" s="65"/>
      <c r="AN701" s="65"/>
      <c r="AO701" s="65"/>
      <c r="AP701" s="65"/>
      <c r="AQ701" s="65"/>
      <c r="AR701" s="65"/>
      <c r="AS701" s="65"/>
      <c r="AT701" s="65"/>
      <c r="AU701" s="65"/>
      <c r="AV701" s="65"/>
      <c r="AW701" s="65"/>
      <c r="AX701" s="65"/>
      <c r="AY701" s="65"/>
      <c r="AZ701" s="65"/>
      <c r="BA701" s="65"/>
      <c r="BB701" s="65"/>
      <c r="BC701" s="65"/>
      <c r="BD701" s="65"/>
      <c r="BE701" s="65"/>
      <c r="BF701" s="65"/>
      <c r="BG701" s="65"/>
      <c r="BH701" s="65"/>
      <c r="BI701" s="65"/>
      <c r="BJ701" s="65"/>
      <c r="BK701" s="65">
        <v>0</v>
      </c>
      <c r="BL701" s="65">
        <v>0</v>
      </c>
      <c r="BM701" s="65">
        <v>0</v>
      </c>
      <c r="BN701" s="65">
        <f t="shared" si="3575"/>
        <v>0</v>
      </c>
      <c r="BO701" s="67">
        <f t="shared" si="3576"/>
        <v>0</v>
      </c>
      <c r="BP701" s="65">
        <f t="shared" si="3577"/>
        <v>0</v>
      </c>
      <c r="BQ701" s="65">
        <f t="shared" si="3578"/>
        <v>0</v>
      </c>
      <c r="BR701" s="65">
        <f t="shared" si="3579"/>
        <v>0</v>
      </c>
      <c r="BS701" s="65">
        <f t="shared" si="3580"/>
        <v>0</v>
      </c>
      <c r="BT701" s="65">
        <f t="shared" si="3581"/>
        <v>0</v>
      </c>
      <c r="BU701" s="65">
        <f t="shared" si="3582"/>
        <v>0</v>
      </c>
      <c r="BV701" s="65">
        <f t="shared" si="3583"/>
        <v>0</v>
      </c>
      <c r="BW701" s="65">
        <f t="shared" si="3584"/>
        <v>0</v>
      </c>
      <c r="BX701" s="6"/>
      <c r="BY701" s="6"/>
      <c r="BZ701" s="6"/>
      <c r="CA701" s="6"/>
      <c r="CB701" s="6"/>
      <c r="CC701" s="6"/>
      <c r="CD701" s="6"/>
      <c r="CE701" s="6"/>
      <c r="CF701" s="6"/>
      <c r="CG701" s="6"/>
    </row>
    <row r="702" spans="1:85" ht="15.75" customHeight="1">
      <c r="A702" s="104" t="s">
        <v>856</v>
      </c>
      <c r="B702" s="207"/>
      <c r="C702" s="68" t="s">
        <v>206</v>
      </c>
      <c r="D702" s="105" t="s">
        <v>857</v>
      </c>
      <c r="E702" s="56">
        <v>40000</v>
      </c>
      <c r="F702" s="99">
        <v>0</v>
      </c>
      <c r="G702" s="58">
        <f t="shared" si="3568"/>
        <v>40000</v>
      </c>
      <c r="H702" s="99">
        <v>0</v>
      </c>
      <c r="I702" s="59">
        <f t="shared" si="3007"/>
        <v>0.26570274999999999</v>
      </c>
      <c r="J702" s="59">
        <f t="shared" si="2705"/>
        <v>0.26570274999999999</v>
      </c>
      <c r="K702" s="74">
        <f>10628.12-0.01</f>
        <v>10628.11</v>
      </c>
      <c r="L702" s="74">
        <v>0</v>
      </c>
      <c r="M702" s="74">
        <v>0</v>
      </c>
      <c r="N702" s="74">
        <v>0</v>
      </c>
      <c r="O702" s="61">
        <f t="shared" ref="O702:Q702" si="3594">AA702+AD702+AG702+AJ702+AM702+AP702+AS702+AV702+AY702+BB702+BE702+BH702</f>
        <v>10628.11</v>
      </c>
      <c r="P702" s="61">
        <f t="shared" si="3594"/>
        <v>0</v>
      </c>
      <c r="Q702" s="61">
        <f t="shared" si="3594"/>
        <v>0</v>
      </c>
      <c r="R702" s="61">
        <f t="shared" ref="R702:T702" si="3595">IF(BK702=0,SUM(AA702+AD702+AG702+AJ702+AM702+AP702+AS702+AV702+AY702+BB702+BE702+BH702),BK702)</f>
        <v>10628.11</v>
      </c>
      <c r="S702" s="61">
        <f t="shared" si="3595"/>
        <v>0</v>
      </c>
      <c r="T702" s="61">
        <f t="shared" si="3595"/>
        <v>0</v>
      </c>
      <c r="U702" s="62">
        <f t="shared" si="3571"/>
        <v>0</v>
      </c>
      <c r="V702" s="63">
        <f t="shared" si="3572"/>
        <v>0</v>
      </c>
      <c r="W702" s="63">
        <f t="shared" si="3573"/>
        <v>0</v>
      </c>
      <c r="X702" s="64">
        <f t="shared" ref="X702:Y702" si="3596">IF(O702&gt;0,O702/K702,0)</f>
        <v>1</v>
      </c>
      <c r="Y702" s="64">
        <f t="shared" si="3596"/>
        <v>0</v>
      </c>
      <c r="Z702" s="64">
        <f t="shared" si="3511"/>
        <v>0</v>
      </c>
      <c r="AA702" s="65"/>
      <c r="AB702" s="65"/>
      <c r="AC702" s="65"/>
      <c r="AD702" s="65"/>
      <c r="AE702" s="66"/>
      <c r="AF702" s="66"/>
      <c r="AG702" s="66"/>
      <c r="AH702" s="66"/>
      <c r="AI702" s="65"/>
      <c r="AJ702" s="65"/>
      <c r="AK702" s="65"/>
      <c r="AL702" s="65"/>
      <c r="AM702" s="65"/>
      <c r="AN702" s="65"/>
      <c r="AO702" s="65"/>
      <c r="AP702" s="65">
        <f>10628.11</f>
        <v>10628.11</v>
      </c>
      <c r="AQ702" s="65"/>
      <c r="AR702" s="65"/>
      <c r="AS702" s="65"/>
      <c r="AT702" s="65"/>
      <c r="AU702" s="65"/>
      <c r="AV702" s="65"/>
      <c r="AW702" s="65"/>
      <c r="AX702" s="65"/>
      <c r="AY702" s="65"/>
      <c r="AZ702" s="65"/>
      <c r="BA702" s="65"/>
      <c r="BB702" s="65"/>
      <c r="BC702" s="65"/>
      <c r="BD702" s="65"/>
      <c r="BE702" s="65"/>
      <c r="BF702" s="65"/>
      <c r="BG702" s="65"/>
      <c r="BH702" s="65"/>
      <c r="BI702" s="65"/>
      <c r="BJ702" s="65"/>
      <c r="BK702" s="65">
        <v>0</v>
      </c>
      <c r="BL702" s="65">
        <v>0</v>
      </c>
      <c r="BM702" s="65">
        <v>0</v>
      </c>
      <c r="BN702" s="65">
        <f t="shared" si="3575"/>
        <v>10628.11</v>
      </c>
      <c r="BO702" s="67">
        <f t="shared" si="3576"/>
        <v>0</v>
      </c>
      <c r="BP702" s="65">
        <f t="shared" si="3577"/>
        <v>10628.11</v>
      </c>
      <c r="BQ702" s="65">
        <f t="shared" si="3578"/>
        <v>0</v>
      </c>
      <c r="BR702" s="65">
        <f t="shared" si="3579"/>
        <v>0</v>
      </c>
      <c r="BS702" s="65">
        <f t="shared" si="3580"/>
        <v>0</v>
      </c>
      <c r="BT702" s="65">
        <f t="shared" si="3581"/>
        <v>0</v>
      </c>
      <c r="BU702" s="65">
        <f t="shared" si="3582"/>
        <v>10628.11</v>
      </c>
      <c r="BV702" s="65">
        <f t="shared" si="3583"/>
        <v>0</v>
      </c>
      <c r="BW702" s="65">
        <f t="shared" si="3584"/>
        <v>10628.11</v>
      </c>
      <c r="BX702" s="6"/>
      <c r="BY702" s="6"/>
      <c r="BZ702" s="6"/>
      <c r="CA702" s="6"/>
      <c r="CB702" s="6"/>
      <c r="CC702" s="6"/>
      <c r="CD702" s="6"/>
      <c r="CE702" s="6"/>
      <c r="CF702" s="6"/>
      <c r="CG702" s="6"/>
    </row>
    <row r="703" spans="1:85" ht="15.75" customHeight="1">
      <c r="A703" s="104" t="s">
        <v>858</v>
      </c>
      <c r="B703" s="207"/>
      <c r="C703" s="68" t="s">
        <v>206</v>
      </c>
      <c r="D703" s="105" t="s">
        <v>859</v>
      </c>
      <c r="E703" s="56">
        <v>0</v>
      </c>
      <c r="F703" s="57">
        <v>0</v>
      </c>
      <c r="G703" s="58">
        <f t="shared" si="3568"/>
        <v>0</v>
      </c>
      <c r="H703" s="99">
        <v>0</v>
      </c>
      <c r="I703" s="59">
        <f t="shared" si="3007"/>
        <v>0</v>
      </c>
      <c r="J703" s="59">
        <f t="shared" si="2705"/>
        <v>0</v>
      </c>
      <c r="K703" s="74">
        <v>17016.38</v>
      </c>
      <c r="L703" s="74">
        <v>0</v>
      </c>
      <c r="M703" s="74">
        <v>0</v>
      </c>
      <c r="N703" s="74">
        <v>0</v>
      </c>
      <c r="O703" s="61">
        <f t="shared" ref="O703:Q703" si="3597">AA703+AD703+AG703+AJ703+AM703+AP703+AS703+AV703+AY703+BB703+BE703+BH703</f>
        <v>0</v>
      </c>
      <c r="P703" s="61">
        <f t="shared" si="3597"/>
        <v>0</v>
      </c>
      <c r="Q703" s="61">
        <f t="shared" si="3597"/>
        <v>0</v>
      </c>
      <c r="R703" s="61">
        <f t="shared" ref="R703:T703" si="3598">IF(BK703=0,SUM(AA703+AD703+AG703+AJ703+AM703+AP703+AS703+AV703+AY703+BB703+BE703+BH703),BK703)</f>
        <v>0</v>
      </c>
      <c r="S703" s="61">
        <f t="shared" si="3598"/>
        <v>0</v>
      </c>
      <c r="T703" s="61">
        <f t="shared" si="3598"/>
        <v>0</v>
      </c>
      <c r="U703" s="62">
        <f t="shared" si="3571"/>
        <v>17016.38</v>
      </c>
      <c r="V703" s="63">
        <f t="shared" si="3572"/>
        <v>0</v>
      </c>
      <c r="W703" s="63">
        <f t="shared" si="3573"/>
        <v>0</v>
      </c>
      <c r="X703" s="64">
        <f t="shared" ref="X703:Y703" si="3599">IF(O703&gt;0,O703/K703,0)</f>
        <v>0</v>
      </c>
      <c r="Y703" s="64">
        <f t="shared" si="3599"/>
        <v>0</v>
      </c>
      <c r="Z703" s="64">
        <f t="shared" si="3511"/>
        <v>0</v>
      </c>
      <c r="AA703" s="65"/>
      <c r="AB703" s="100"/>
      <c r="AC703" s="65"/>
      <c r="AD703" s="65"/>
      <c r="AE703" s="113"/>
      <c r="AF703" s="66"/>
      <c r="AG703" s="66"/>
      <c r="AH703" s="66"/>
      <c r="AI703" s="65"/>
      <c r="AJ703" s="65"/>
      <c r="AK703" s="100"/>
      <c r="AL703" s="65"/>
      <c r="AM703" s="65"/>
      <c r="AN703" s="65"/>
      <c r="AO703" s="65"/>
      <c r="AP703" s="65"/>
      <c r="AQ703" s="65"/>
      <c r="AR703" s="65"/>
      <c r="AS703" s="65"/>
      <c r="AT703" s="65"/>
      <c r="AU703" s="65"/>
      <c r="AV703" s="65"/>
      <c r="AW703" s="65"/>
      <c r="AX703" s="65"/>
      <c r="AY703" s="65"/>
      <c r="AZ703" s="65"/>
      <c r="BA703" s="65"/>
      <c r="BB703" s="65"/>
      <c r="BC703" s="65"/>
      <c r="BD703" s="65"/>
      <c r="BE703" s="65"/>
      <c r="BF703" s="65"/>
      <c r="BG703" s="65"/>
      <c r="BH703" s="65"/>
      <c r="BI703" s="65"/>
      <c r="BJ703" s="65"/>
      <c r="BK703" s="65">
        <v>0</v>
      </c>
      <c r="BL703" s="65">
        <v>0</v>
      </c>
      <c r="BM703" s="65">
        <v>0</v>
      </c>
      <c r="BN703" s="65">
        <f t="shared" si="3575"/>
        <v>0</v>
      </c>
      <c r="BO703" s="67">
        <f t="shared" si="3576"/>
        <v>0</v>
      </c>
      <c r="BP703" s="65">
        <f t="shared" si="3577"/>
        <v>0</v>
      </c>
      <c r="BQ703" s="65">
        <f t="shared" si="3578"/>
        <v>17016.38</v>
      </c>
      <c r="BR703" s="65">
        <f t="shared" si="3579"/>
        <v>0</v>
      </c>
      <c r="BS703" s="65">
        <f t="shared" si="3580"/>
        <v>17016.38</v>
      </c>
      <c r="BT703" s="65">
        <f t="shared" si="3581"/>
        <v>0</v>
      </c>
      <c r="BU703" s="65">
        <f t="shared" si="3582"/>
        <v>0</v>
      </c>
      <c r="BV703" s="65">
        <f t="shared" si="3583"/>
        <v>17016.38</v>
      </c>
      <c r="BW703" s="65">
        <f t="shared" si="3584"/>
        <v>17016.38</v>
      </c>
      <c r="BX703" s="223"/>
      <c r="BY703" s="223"/>
      <c r="BZ703" s="223"/>
      <c r="CA703" s="223"/>
      <c r="CB703" s="223"/>
      <c r="CC703" s="223"/>
      <c r="CD703" s="223"/>
      <c r="CE703" s="223"/>
      <c r="CF703" s="223"/>
      <c r="CG703" s="223"/>
    </row>
    <row r="704" spans="1:85" ht="15.75" customHeight="1">
      <c r="A704" s="221" t="s">
        <v>860</v>
      </c>
      <c r="B704" s="346" t="s">
        <v>861</v>
      </c>
      <c r="C704" s="68" t="s">
        <v>181</v>
      </c>
      <c r="D704" s="190" t="s">
        <v>862</v>
      </c>
      <c r="E704" s="56">
        <v>30000</v>
      </c>
      <c r="F704" s="99">
        <v>0</v>
      </c>
      <c r="G704" s="58">
        <f t="shared" si="3568"/>
        <v>30000</v>
      </c>
      <c r="H704" s="99">
        <v>0</v>
      </c>
      <c r="I704" s="59">
        <f t="shared" si="3007"/>
        <v>0.52966666666666662</v>
      </c>
      <c r="J704" s="59">
        <f t="shared" si="2705"/>
        <v>4.9355000000000003E-2</v>
      </c>
      <c r="K704" s="74">
        <v>15890</v>
      </c>
      <c r="L704" s="376">
        <v>6927.35</v>
      </c>
      <c r="M704" s="100">
        <v>0</v>
      </c>
      <c r="N704" s="60">
        <v>0</v>
      </c>
      <c r="O704" s="61">
        <f t="shared" ref="O704:Q704" si="3600">AA704+AD704+AG704+AJ704+AM704+AP704+AS704+AV704+AY704+BB704+BE704+BH704</f>
        <v>1480.65</v>
      </c>
      <c r="P704" s="61">
        <f t="shared" si="3600"/>
        <v>6927.35</v>
      </c>
      <c r="Q704" s="61">
        <f t="shared" si="3600"/>
        <v>0</v>
      </c>
      <c r="R704" s="61">
        <f t="shared" ref="R704:T704" si="3601">IF(BK704=0,SUM(AA704+AD704+AG704+AJ704+AM704+AP704+AS704+AV704+AY704+BB704+BE704+BH704),BK704)</f>
        <v>1480.65</v>
      </c>
      <c r="S704" s="61">
        <f t="shared" si="3601"/>
        <v>6927.35</v>
      </c>
      <c r="T704" s="61">
        <f t="shared" si="3601"/>
        <v>0</v>
      </c>
      <c r="U704" s="62">
        <f t="shared" si="3571"/>
        <v>14409.35</v>
      </c>
      <c r="V704" s="63">
        <f t="shared" si="3572"/>
        <v>0</v>
      </c>
      <c r="W704" s="63">
        <f t="shared" si="3573"/>
        <v>0</v>
      </c>
      <c r="X704" s="64">
        <f t="shared" ref="X704:Y704" si="3602">IF(O704&gt;0,O704/K704,0)</f>
        <v>9.3181246066708634E-2</v>
      </c>
      <c r="Y704" s="64">
        <f t="shared" si="3602"/>
        <v>1</v>
      </c>
      <c r="Z704" s="64">
        <f t="shared" si="3511"/>
        <v>0</v>
      </c>
      <c r="AA704" s="65"/>
      <c r="AB704" s="100">
        <v>2002</v>
      </c>
      <c r="AC704" s="65"/>
      <c r="AD704" s="65"/>
      <c r="AE704" s="113">
        <v>1304</v>
      </c>
      <c r="AF704" s="66"/>
      <c r="AG704" s="66"/>
      <c r="AH704" s="66">
        <f>1395</f>
        <v>1395</v>
      </c>
      <c r="AI704" s="65"/>
      <c r="AJ704" s="65"/>
      <c r="AK704" s="100">
        <v>1400</v>
      </c>
      <c r="AL704" s="65"/>
      <c r="AM704" s="65"/>
      <c r="AN704" s="65">
        <f>823</f>
        <v>823</v>
      </c>
      <c r="AO704" s="65"/>
      <c r="AP704" s="65">
        <f>1480.65</f>
        <v>1480.65</v>
      </c>
      <c r="AQ704" s="65">
        <f>3.35</f>
        <v>3.35</v>
      </c>
      <c r="AR704" s="65"/>
      <c r="AS704" s="65"/>
      <c r="AT704" s="65"/>
      <c r="AU704" s="65"/>
      <c r="AV704" s="65"/>
      <c r="AW704" s="65"/>
      <c r="AX704" s="65"/>
      <c r="AY704" s="65"/>
      <c r="AZ704" s="65"/>
      <c r="BA704" s="65"/>
      <c r="BB704" s="65"/>
      <c r="BC704" s="65"/>
      <c r="BD704" s="65"/>
      <c r="BE704" s="65"/>
      <c r="BF704" s="65"/>
      <c r="BG704" s="65"/>
      <c r="BH704" s="65"/>
      <c r="BI704" s="65"/>
      <c r="BJ704" s="65"/>
      <c r="BK704" s="65">
        <v>0</v>
      </c>
      <c r="BL704" s="65">
        <v>0</v>
      </c>
      <c r="BM704" s="65">
        <v>0</v>
      </c>
      <c r="BN704" s="65">
        <f t="shared" si="3575"/>
        <v>1480.65</v>
      </c>
      <c r="BO704" s="67">
        <f t="shared" si="3576"/>
        <v>0</v>
      </c>
      <c r="BP704" s="65">
        <f t="shared" si="3577"/>
        <v>1480.65</v>
      </c>
      <c r="BQ704" s="65">
        <f t="shared" si="3578"/>
        <v>14409.35</v>
      </c>
      <c r="BR704" s="65">
        <f t="shared" si="3579"/>
        <v>0</v>
      </c>
      <c r="BS704" s="65">
        <f t="shared" si="3580"/>
        <v>14409.35</v>
      </c>
      <c r="BT704" s="65">
        <f t="shared" si="3581"/>
        <v>0</v>
      </c>
      <c r="BU704" s="65">
        <f t="shared" si="3582"/>
        <v>1480.65</v>
      </c>
      <c r="BV704" s="65">
        <f t="shared" si="3583"/>
        <v>14409.35</v>
      </c>
      <c r="BW704" s="65">
        <f t="shared" si="3584"/>
        <v>15890</v>
      </c>
      <c r="BX704" s="223"/>
      <c r="BY704" s="223"/>
      <c r="BZ704" s="223"/>
      <c r="CA704" s="223"/>
      <c r="CB704" s="223"/>
      <c r="CC704" s="223"/>
      <c r="CD704" s="223"/>
      <c r="CE704" s="223"/>
      <c r="CF704" s="223"/>
      <c r="CG704" s="223"/>
    </row>
    <row r="705" spans="1:85" ht="15.75">
      <c r="A705" s="75"/>
      <c r="B705" s="76"/>
      <c r="C705" s="77"/>
      <c r="D705" s="78" t="s">
        <v>75</v>
      </c>
      <c r="E705" s="45">
        <f t="shared" ref="E705:H705" si="3603">SUM(E706)</f>
        <v>0</v>
      </c>
      <c r="F705" s="46">
        <f t="shared" si="3603"/>
        <v>0</v>
      </c>
      <c r="G705" s="46">
        <f t="shared" si="3603"/>
        <v>0</v>
      </c>
      <c r="H705" s="46">
        <f t="shared" si="3603"/>
        <v>0</v>
      </c>
      <c r="I705" s="47">
        <f t="shared" si="3007"/>
        <v>0</v>
      </c>
      <c r="J705" s="47">
        <f t="shared" si="2705"/>
        <v>0</v>
      </c>
      <c r="K705" s="46">
        <f t="shared" ref="K705:W705" si="3604">SUM(K706)</f>
        <v>4197.3500000000004</v>
      </c>
      <c r="L705" s="46">
        <f t="shared" si="3604"/>
        <v>0</v>
      </c>
      <c r="M705" s="46">
        <f t="shared" si="3604"/>
        <v>0</v>
      </c>
      <c r="N705" s="46">
        <f t="shared" si="3604"/>
        <v>0</v>
      </c>
      <c r="O705" s="46">
        <f t="shared" si="3604"/>
        <v>3202.05</v>
      </c>
      <c r="P705" s="46">
        <f t="shared" si="3604"/>
        <v>0</v>
      </c>
      <c r="Q705" s="46">
        <f t="shared" si="3604"/>
        <v>0</v>
      </c>
      <c r="R705" s="46">
        <f t="shared" si="3604"/>
        <v>3202.05</v>
      </c>
      <c r="S705" s="46">
        <f t="shared" si="3604"/>
        <v>0</v>
      </c>
      <c r="T705" s="46">
        <f t="shared" si="3604"/>
        <v>0</v>
      </c>
      <c r="U705" s="46">
        <f t="shared" si="3604"/>
        <v>995.30000000000018</v>
      </c>
      <c r="V705" s="46">
        <f t="shared" si="3604"/>
        <v>0</v>
      </c>
      <c r="W705" s="46">
        <f t="shared" si="3604"/>
        <v>0</v>
      </c>
      <c r="X705" s="50">
        <f t="shared" ref="X705:Y705" si="3605">IF(O705&gt;0,O705/K705,0)</f>
        <v>0.76287419443220128</v>
      </c>
      <c r="Y705" s="50">
        <f t="shared" si="3605"/>
        <v>0</v>
      </c>
      <c r="Z705" s="50">
        <f t="shared" si="3511"/>
        <v>0</v>
      </c>
      <c r="AA705" s="46">
        <f t="shared" ref="AA705:BW705" si="3606">SUM(AA706)</f>
        <v>205.94</v>
      </c>
      <c r="AB705" s="46">
        <f t="shared" si="3606"/>
        <v>0</v>
      </c>
      <c r="AC705" s="46">
        <f t="shared" si="3606"/>
        <v>0</v>
      </c>
      <c r="AD705" s="46">
        <f t="shared" si="3606"/>
        <v>0</v>
      </c>
      <c r="AE705" s="46">
        <f t="shared" si="3606"/>
        <v>0</v>
      </c>
      <c r="AF705" s="46">
        <f t="shared" si="3606"/>
        <v>0</v>
      </c>
      <c r="AG705" s="46">
        <f t="shared" si="3606"/>
        <v>512.92000000000007</v>
      </c>
      <c r="AH705" s="46">
        <f t="shared" si="3606"/>
        <v>0</v>
      </c>
      <c r="AI705" s="46">
        <f t="shared" si="3606"/>
        <v>0</v>
      </c>
      <c r="AJ705" s="46">
        <f t="shared" si="3606"/>
        <v>312.49</v>
      </c>
      <c r="AK705" s="46">
        <f t="shared" si="3606"/>
        <v>0</v>
      </c>
      <c r="AL705" s="46">
        <f t="shared" si="3606"/>
        <v>0</v>
      </c>
      <c r="AM705" s="46">
        <f t="shared" si="3606"/>
        <v>880</v>
      </c>
      <c r="AN705" s="46">
        <f t="shared" si="3606"/>
        <v>0</v>
      </c>
      <c r="AO705" s="46">
        <f t="shared" si="3606"/>
        <v>0</v>
      </c>
      <c r="AP705" s="46">
        <f t="shared" si="3606"/>
        <v>1290.7</v>
      </c>
      <c r="AQ705" s="46">
        <f t="shared" si="3606"/>
        <v>0</v>
      </c>
      <c r="AR705" s="46">
        <f t="shared" si="3606"/>
        <v>0</v>
      </c>
      <c r="AS705" s="46">
        <f t="shared" si="3606"/>
        <v>0</v>
      </c>
      <c r="AT705" s="46">
        <f t="shared" si="3606"/>
        <v>0</v>
      </c>
      <c r="AU705" s="46">
        <f t="shared" si="3606"/>
        <v>0</v>
      </c>
      <c r="AV705" s="46">
        <f t="shared" si="3606"/>
        <v>0</v>
      </c>
      <c r="AW705" s="46">
        <f t="shared" si="3606"/>
        <v>0</v>
      </c>
      <c r="AX705" s="46">
        <f t="shared" si="3606"/>
        <v>0</v>
      </c>
      <c r="AY705" s="46">
        <f t="shared" si="3606"/>
        <v>0</v>
      </c>
      <c r="AZ705" s="46">
        <f t="shared" si="3606"/>
        <v>0</v>
      </c>
      <c r="BA705" s="46">
        <f t="shared" si="3606"/>
        <v>0</v>
      </c>
      <c r="BB705" s="46">
        <f t="shared" si="3606"/>
        <v>0</v>
      </c>
      <c r="BC705" s="46">
        <f t="shared" si="3606"/>
        <v>0</v>
      </c>
      <c r="BD705" s="46">
        <f t="shared" si="3606"/>
        <v>0</v>
      </c>
      <c r="BE705" s="46">
        <f t="shared" si="3606"/>
        <v>0</v>
      </c>
      <c r="BF705" s="46">
        <f t="shared" si="3606"/>
        <v>0</v>
      </c>
      <c r="BG705" s="46">
        <f t="shared" si="3606"/>
        <v>0</v>
      </c>
      <c r="BH705" s="46">
        <f t="shared" si="3606"/>
        <v>0</v>
      </c>
      <c r="BI705" s="46">
        <f t="shared" si="3606"/>
        <v>0</v>
      </c>
      <c r="BJ705" s="46">
        <f t="shared" si="3606"/>
        <v>0</v>
      </c>
      <c r="BK705" s="46">
        <f t="shared" si="3606"/>
        <v>0</v>
      </c>
      <c r="BL705" s="46">
        <f t="shared" si="3606"/>
        <v>0</v>
      </c>
      <c r="BM705" s="46">
        <f t="shared" si="3606"/>
        <v>0</v>
      </c>
      <c r="BN705" s="46">
        <f t="shared" si="3606"/>
        <v>3202.05</v>
      </c>
      <c r="BO705" s="46">
        <f t="shared" si="3606"/>
        <v>0</v>
      </c>
      <c r="BP705" s="46">
        <f t="shared" si="3606"/>
        <v>3202.05</v>
      </c>
      <c r="BQ705" s="46">
        <f t="shared" si="3606"/>
        <v>995.30000000000018</v>
      </c>
      <c r="BR705" s="46">
        <f t="shared" si="3606"/>
        <v>0</v>
      </c>
      <c r="BS705" s="46">
        <f t="shared" si="3606"/>
        <v>995.30000000000018</v>
      </c>
      <c r="BT705" s="46">
        <f t="shared" si="3606"/>
        <v>0</v>
      </c>
      <c r="BU705" s="46">
        <f t="shared" si="3606"/>
        <v>3202.05</v>
      </c>
      <c r="BV705" s="46">
        <f t="shared" si="3606"/>
        <v>995.30000000000018</v>
      </c>
      <c r="BW705" s="46">
        <f t="shared" si="3606"/>
        <v>4197.3500000000004</v>
      </c>
      <c r="BX705" s="51"/>
      <c r="BY705" s="51"/>
      <c r="BZ705" s="51"/>
      <c r="CA705" s="51"/>
      <c r="CB705" s="51"/>
      <c r="CC705" s="51"/>
      <c r="CD705" s="51"/>
      <c r="CE705" s="51"/>
      <c r="CF705" s="51"/>
      <c r="CG705" s="51"/>
    </row>
    <row r="706" spans="1:85" ht="15.75" customHeight="1">
      <c r="A706" s="104" t="s">
        <v>863</v>
      </c>
      <c r="B706" s="346"/>
      <c r="C706" s="68" t="s">
        <v>77</v>
      </c>
      <c r="D706" s="115" t="s">
        <v>864</v>
      </c>
      <c r="E706" s="99">
        <v>0</v>
      </c>
      <c r="F706" s="99">
        <v>0</v>
      </c>
      <c r="G706" s="58">
        <f>E706-F706</f>
        <v>0</v>
      </c>
      <c r="H706" s="99">
        <v>0</v>
      </c>
      <c r="I706" s="83">
        <f t="shared" si="3007"/>
        <v>0</v>
      </c>
      <c r="J706" s="83">
        <f t="shared" si="2705"/>
        <v>0</v>
      </c>
      <c r="K706" s="74">
        <f>1000+32.35+1000+165+2000</f>
        <v>4197.3500000000004</v>
      </c>
      <c r="L706" s="74">
        <v>0</v>
      </c>
      <c r="M706" s="74">
        <v>0</v>
      </c>
      <c r="N706" s="74">
        <v>0</v>
      </c>
      <c r="O706" s="116">
        <f t="shared" ref="O706:Q706" si="3607">AA706+AD706+AG706+AJ706+AM706+AP706+AS706+AV706+AY706+BB706+BE706+BH706</f>
        <v>3202.05</v>
      </c>
      <c r="P706" s="63">
        <f t="shared" si="3607"/>
        <v>0</v>
      </c>
      <c r="Q706" s="63">
        <f t="shared" si="3607"/>
        <v>0</v>
      </c>
      <c r="R706" s="63">
        <f t="shared" ref="R706:T706" si="3608">IF(BK706=0,SUM(AA706+AD706+AG706+AJ706+AM706+AP706+AS706+AV706+AY706+BB706+BE706+BH706),BK706)</f>
        <v>3202.05</v>
      </c>
      <c r="S706" s="63">
        <f t="shared" si="3608"/>
        <v>0</v>
      </c>
      <c r="T706" s="63">
        <f t="shared" si="3608"/>
        <v>0</v>
      </c>
      <c r="U706" s="62">
        <f>K706-O706</f>
        <v>995.30000000000018</v>
      </c>
      <c r="V706" s="63">
        <f>L706-M706-S706</f>
        <v>0</v>
      </c>
      <c r="W706" s="63">
        <f>N706-Q706</f>
        <v>0</v>
      </c>
      <c r="X706" s="84">
        <f t="shared" ref="X706:Y706" si="3609">IF(O706&gt;0,O706/K706,0)</f>
        <v>0.76287419443220128</v>
      </c>
      <c r="Y706" s="84">
        <f t="shared" si="3609"/>
        <v>0</v>
      </c>
      <c r="Z706" s="84">
        <f t="shared" si="3511"/>
        <v>0</v>
      </c>
      <c r="AA706" s="100">
        <v>205.94</v>
      </c>
      <c r="AB706" s="65"/>
      <c r="AC706" s="65"/>
      <c r="AD706" s="65"/>
      <c r="AE706" s="66"/>
      <c r="AF706" s="66"/>
      <c r="AG706" s="66">
        <f>462+157+512.92-157-462</f>
        <v>512.92000000000007</v>
      </c>
      <c r="AH706" s="66"/>
      <c r="AI706" s="65"/>
      <c r="AJ706" s="65">
        <f>100+124.89+87.6</f>
        <v>312.49</v>
      </c>
      <c r="AK706" s="65"/>
      <c r="AL706" s="65"/>
      <c r="AM706" s="65">
        <f>880</f>
        <v>880</v>
      </c>
      <c r="AN706" s="65"/>
      <c r="AO706" s="65"/>
      <c r="AP706" s="65">
        <f>285.7+1005</f>
        <v>1290.7</v>
      </c>
      <c r="AQ706" s="65"/>
      <c r="AR706" s="65"/>
      <c r="AS706" s="65"/>
      <c r="AT706" s="65"/>
      <c r="AU706" s="65"/>
      <c r="AV706" s="65"/>
      <c r="AW706" s="65"/>
      <c r="AX706" s="65"/>
      <c r="AY706" s="65"/>
      <c r="AZ706" s="65"/>
      <c r="BA706" s="65"/>
      <c r="BB706" s="65"/>
      <c r="BC706" s="65"/>
      <c r="BD706" s="65"/>
      <c r="BE706" s="65"/>
      <c r="BF706" s="65"/>
      <c r="BG706" s="65"/>
      <c r="BH706" s="65"/>
      <c r="BI706" s="65"/>
      <c r="BJ706" s="65"/>
      <c r="BK706" s="65">
        <v>0</v>
      </c>
      <c r="BL706" s="65">
        <v>0</v>
      </c>
      <c r="BM706" s="65">
        <v>0</v>
      </c>
      <c r="BN706" s="65">
        <f>IF(O706-BK706&gt;0,O706-BK706,0)</f>
        <v>3202.05</v>
      </c>
      <c r="BO706" s="67">
        <f>IF(Q706-BM706&gt;0,Q706-BM706,0)</f>
        <v>0</v>
      </c>
      <c r="BP706" s="65">
        <f>IF(BN706+BO706&gt;0,BN706+BO706,0)</f>
        <v>3202.05</v>
      </c>
      <c r="BQ706" s="65">
        <f>IF(U706=0,0,U706)</f>
        <v>995.30000000000018</v>
      </c>
      <c r="BR706" s="65">
        <f>IF(W706=0,0,W706)</f>
        <v>0</v>
      </c>
      <c r="BS706" s="65">
        <f>IF(BQ706+BR706&gt;0,BQ706+BR706,0)</f>
        <v>995.30000000000018</v>
      </c>
      <c r="BT706" s="65">
        <f>IF(V706&gt;0,V706,0)</f>
        <v>0</v>
      </c>
      <c r="BU706" s="65">
        <f>IF(BP706=0,0,BP706)</f>
        <v>3202.05</v>
      </c>
      <c r="BV706" s="65">
        <f>IF(BS706=0,0,BS706)</f>
        <v>995.30000000000018</v>
      </c>
      <c r="BW706" s="65">
        <f>IF(BP706+BT706+BV706&gt;0,BP706+BT706+BV706,0)</f>
        <v>4197.3500000000004</v>
      </c>
      <c r="BX706" s="88"/>
      <c r="BY706" s="88"/>
      <c r="BZ706" s="88"/>
      <c r="CA706" s="88"/>
      <c r="CB706" s="88"/>
      <c r="CC706" s="88"/>
      <c r="CD706" s="88"/>
      <c r="CE706" s="88"/>
      <c r="CF706" s="88"/>
      <c r="CG706" s="88"/>
    </row>
    <row r="707" spans="1:85" ht="15.75">
      <c r="A707" s="75"/>
      <c r="B707" s="76"/>
      <c r="C707" s="77"/>
      <c r="D707" s="78" t="s">
        <v>264</v>
      </c>
      <c r="E707" s="45">
        <f t="shared" ref="E707:H707" si="3610">SUM(E708:E710)</f>
        <v>0</v>
      </c>
      <c r="F707" s="45">
        <f t="shared" si="3610"/>
        <v>0</v>
      </c>
      <c r="G707" s="45">
        <f t="shared" si="3610"/>
        <v>0</v>
      </c>
      <c r="H707" s="45">
        <f t="shared" si="3610"/>
        <v>0</v>
      </c>
      <c r="I707" s="47">
        <f t="shared" si="3007"/>
        <v>0</v>
      </c>
      <c r="J707" s="47">
        <f t="shared" si="2705"/>
        <v>0</v>
      </c>
      <c r="K707" s="45">
        <f t="shared" ref="K707:W707" si="3611">SUM(K708:K710)</f>
        <v>0</v>
      </c>
      <c r="L707" s="45">
        <f t="shared" si="3611"/>
        <v>8899.99</v>
      </c>
      <c r="M707" s="45">
        <f t="shared" si="3611"/>
        <v>0</v>
      </c>
      <c r="N707" s="45">
        <f t="shared" si="3611"/>
        <v>0</v>
      </c>
      <c r="O707" s="45">
        <f t="shared" si="3611"/>
        <v>0</v>
      </c>
      <c r="P707" s="45">
        <f t="shared" si="3611"/>
        <v>0</v>
      </c>
      <c r="Q707" s="45">
        <f t="shared" si="3611"/>
        <v>0</v>
      </c>
      <c r="R707" s="45">
        <f t="shared" si="3611"/>
        <v>0</v>
      </c>
      <c r="S707" s="45">
        <f t="shared" si="3611"/>
        <v>0</v>
      </c>
      <c r="T707" s="45">
        <f t="shared" si="3611"/>
        <v>0</v>
      </c>
      <c r="U707" s="45">
        <f t="shared" si="3611"/>
        <v>0</v>
      </c>
      <c r="V707" s="45">
        <f t="shared" si="3611"/>
        <v>8899.99</v>
      </c>
      <c r="W707" s="45">
        <f t="shared" si="3611"/>
        <v>0</v>
      </c>
      <c r="X707" s="50">
        <f t="shared" ref="X707:Y707" si="3612">IF(O707&gt;0,O707/K707,0)</f>
        <v>0</v>
      </c>
      <c r="Y707" s="50">
        <f t="shared" si="3612"/>
        <v>0</v>
      </c>
      <c r="Z707" s="50">
        <f t="shared" si="3511"/>
        <v>0</v>
      </c>
      <c r="AA707" s="45">
        <f t="shared" ref="AA707:BW707" si="3613">SUM(AA708:AA710)</f>
        <v>0</v>
      </c>
      <c r="AB707" s="45">
        <f t="shared" si="3613"/>
        <v>0</v>
      </c>
      <c r="AC707" s="45">
        <f t="shared" si="3613"/>
        <v>0</v>
      </c>
      <c r="AD707" s="45">
        <f t="shared" si="3613"/>
        <v>0</v>
      </c>
      <c r="AE707" s="45">
        <f t="shared" si="3613"/>
        <v>0</v>
      </c>
      <c r="AF707" s="45">
        <f t="shared" si="3613"/>
        <v>0</v>
      </c>
      <c r="AG707" s="45">
        <f t="shared" si="3613"/>
        <v>0</v>
      </c>
      <c r="AH707" s="45">
        <f t="shared" si="3613"/>
        <v>0</v>
      </c>
      <c r="AI707" s="45">
        <f t="shared" si="3613"/>
        <v>0</v>
      </c>
      <c r="AJ707" s="45">
        <f t="shared" si="3613"/>
        <v>0</v>
      </c>
      <c r="AK707" s="45">
        <f t="shared" si="3613"/>
        <v>0</v>
      </c>
      <c r="AL707" s="45">
        <f t="shared" si="3613"/>
        <v>0</v>
      </c>
      <c r="AM707" s="45">
        <f t="shared" si="3613"/>
        <v>0</v>
      </c>
      <c r="AN707" s="45">
        <f t="shared" si="3613"/>
        <v>0</v>
      </c>
      <c r="AO707" s="45">
        <f t="shared" si="3613"/>
        <v>0</v>
      </c>
      <c r="AP707" s="45">
        <f t="shared" si="3613"/>
        <v>0</v>
      </c>
      <c r="AQ707" s="45">
        <f t="shared" si="3613"/>
        <v>0</v>
      </c>
      <c r="AR707" s="45">
        <f t="shared" si="3613"/>
        <v>0</v>
      </c>
      <c r="AS707" s="45">
        <f t="shared" si="3613"/>
        <v>0</v>
      </c>
      <c r="AT707" s="45">
        <f t="shared" si="3613"/>
        <v>0</v>
      </c>
      <c r="AU707" s="45">
        <f t="shared" si="3613"/>
        <v>0</v>
      </c>
      <c r="AV707" s="45">
        <f t="shared" si="3613"/>
        <v>0</v>
      </c>
      <c r="AW707" s="45">
        <f t="shared" si="3613"/>
        <v>0</v>
      </c>
      <c r="AX707" s="45">
        <f t="shared" si="3613"/>
        <v>0</v>
      </c>
      <c r="AY707" s="45">
        <f t="shared" si="3613"/>
        <v>0</v>
      </c>
      <c r="AZ707" s="45">
        <f t="shared" si="3613"/>
        <v>0</v>
      </c>
      <c r="BA707" s="45">
        <f t="shared" si="3613"/>
        <v>0</v>
      </c>
      <c r="BB707" s="45">
        <f t="shared" si="3613"/>
        <v>0</v>
      </c>
      <c r="BC707" s="45">
        <f t="shared" si="3613"/>
        <v>0</v>
      </c>
      <c r="BD707" s="45">
        <f t="shared" si="3613"/>
        <v>0</v>
      </c>
      <c r="BE707" s="45">
        <f t="shared" si="3613"/>
        <v>0</v>
      </c>
      <c r="BF707" s="45">
        <f t="shared" si="3613"/>
        <v>0</v>
      </c>
      <c r="BG707" s="45">
        <f t="shared" si="3613"/>
        <v>0</v>
      </c>
      <c r="BH707" s="45">
        <f t="shared" si="3613"/>
        <v>0</v>
      </c>
      <c r="BI707" s="45">
        <f t="shared" si="3613"/>
        <v>0</v>
      </c>
      <c r="BJ707" s="45">
        <f t="shared" si="3613"/>
        <v>0</v>
      </c>
      <c r="BK707" s="45">
        <f t="shared" si="3613"/>
        <v>0</v>
      </c>
      <c r="BL707" s="45">
        <f t="shared" si="3613"/>
        <v>0</v>
      </c>
      <c r="BM707" s="45">
        <f t="shared" si="3613"/>
        <v>0</v>
      </c>
      <c r="BN707" s="45">
        <f t="shared" si="3613"/>
        <v>0</v>
      </c>
      <c r="BO707" s="45">
        <f t="shared" si="3613"/>
        <v>0</v>
      </c>
      <c r="BP707" s="45">
        <f t="shared" si="3613"/>
        <v>0</v>
      </c>
      <c r="BQ707" s="45">
        <f t="shared" si="3613"/>
        <v>0</v>
      </c>
      <c r="BR707" s="45">
        <f t="shared" si="3613"/>
        <v>0</v>
      </c>
      <c r="BS707" s="45">
        <f t="shared" si="3613"/>
        <v>0</v>
      </c>
      <c r="BT707" s="45">
        <f t="shared" si="3613"/>
        <v>8899.99</v>
      </c>
      <c r="BU707" s="45">
        <f t="shared" si="3613"/>
        <v>0</v>
      </c>
      <c r="BV707" s="45">
        <f t="shared" si="3613"/>
        <v>0</v>
      </c>
      <c r="BW707" s="45">
        <f t="shared" si="3613"/>
        <v>8899.99</v>
      </c>
      <c r="BX707" s="51"/>
      <c r="BY707" s="51"/>
      <c r="BZ707" s="51"/>
      <c r="CA707" s="51"/>
      <c r="CB707" s="51"/>
      <c r="CC707" s="51"/>
      <c r="CD707" s="51"/>
      <c r="CE707" s="51"/>
      <c r="CF707" s="51"/>
      <c r="CG707" s="51"/>
    </row>
    <row r="708" spans="1:85" ht="15.75" customHeight="1">
      <c r="A708" s="121"/>
      <c r="B708" s="169" t="s">
        <v>865</v>
      </c>
      <c r="C708" s="68" t="s">
        <v>486</v>
      </c>
      <c r="D708" s="380" t="s">
        <v>866</v>
      </c>
      <c r="E708" s="99">
        <v>0</v>
      </c>
      <c r="F708" s="99">
        <v>0</v>
      </c>
      <c r="G708" s="58">
        <f t="shared" ref="G708:G710" si="3614">E708-F708</f>
        <v>0</v>
      </c>
      <c r="H708" s="99">
        <v>0</v>
      </c>
      <c r="I708" s="59">
        <f t="shared" si="3007"/>
        <v>0</v>
      </c>
      <c r="J708" s="59">
        <f t="shared" si="2705"/>
        <v>0</v>
      </c>
      <c r="K708" s="74">
        <v>0</v>
      </c>
      <c r="L708" s="67">
        <v>8899.99</v>
      </c>
      <c r="M708" s="376">
        <v>0</v>
      </c>
      <c r="N708" s="74">
        <v>0</v>
      </c>
      <c r="O708" s="61">
        <f t="shared" ref="O708:Q708" si="3615">AA708+AD708+AG708+AJ708+AM708+AP708+AS708+AV708+AY708+BB708+BE708+BH708</f>
        <v>0</v>
      </c>
      <c r="P708" s="61">
        <f t="shared" si="3615"/>
        <v>0</v>
      </c>
      <c r="Q708" s="61">
        <f t="shared" si="3615"/>
        <v>0</v>
      </c>
      <c r="R708" s="61">
        <f t="shared" ref="R708:T708" si="3616">IF(BK708=0,SUM(AA708+AD708+AG708+AJ708+AM708+AP708+AS708+AV708+AY708+BB708+BE708+BH708),BK708)</f>
        <v>0</v>
      </c>
      <c r="S708" s="61">
        <f t="shared" si="3616"/>
        <v>0</v>
      </c>
      <c r="T708" s="61">
        <f t="shared" si="3616"/>
        <v>0</v>
      </c>
      <c r="U708" s="63">
        <f t="shared" ref="U708:U710" si="3617">K708-O708</f>
        <v>0</v>
      </c>
      <c r="V708" s="170">
        <f t="shared" ref="V708:V710" si="3618">L708-M708-S708</f>
        <v>8899.99</v>
      </c>
      <c r="W708" s="63">
        <f t="shared" ref="W708:W710" si="3619">N708-Q708</f>
        <v>0</v>
      </c>
      <c r="X708" s="64">
        <f t="shared" ref="X708:Y708" si="3620">IF(O708&gt;0,O708/K708,0)</f>
        <v>0</v>
      </c>
      <c r="Y708" s="64">
        <f t="shared" si="3620"/>
        <v>0</v>
      </c>
      <c r="Z708" s="64">
        <f t="shared" si="3511"/>
        <v>0</v>
      </c>
      <c r="AA708" s="65"/>
      <c r="AB708" s="65"/>
      <c r="AC708" s="65"/>
      <c r="AD708" s="65"/>
      <c r="AE708" s="66"/>
      <c r="AF708" s="66"/>
      <c r="AG708" s="66"/>
      <c r="AH708" s="66"/>
      <c r="AI708" s="65"/>
      <c r="AJ708" s="65"/>
      <c r="AK708" s="65"/>
      <c r="AL708" s="65"/>
      <c r="AM708" s="65"/>
      <c r="AN708" s="65"/>
      <c r="AO708" s="65"/>
      <c r="AP708" s="65"/>
      <c r="AQ708" s="65"/>
      <c r="AR708" s="65"/>
      <c r="AS708" s="65"/>
      <c r="AT708" s="65"/>
      <c r="AU708" s="65"/>
      <c r="AV708" s="65"/>
      <c r="AW708" s="65"/>
      <c r="AX708" s="65"/>
      <c r="AY708" s="65"/>
      <c r="AZ708" s="65"/>
      <c r="BA708" s="65"/>
      <c r="BB708" s="65"/>
      <c r="BC708" s="65"/>
      <c r="BD708" s="65"/>
      <c r="BE708" s="65"/>
      <c r="BF708" s="65"/>
      <c r="BG708" s="65"/>
      <c r="BH708" s="65"/>
      <c r="BI708" s="65"/>
      <c r="BJ708" s="65"/>
      <c r="BK708" s="65">
        <v>0</v>
      </c>
      <c r="BL708" s="65">
        <v>0</v>
      </c>
      <c r="BM708" s="65">
        <v>0</v>
      </c>
      <c r="BN708" s="65">
        <f t="shared" ref="BN708:BN710" si="3621">IF(O708-BK708&gt;0,O708-BK708,0)</f>
        <v>0</v>
      </c>
      <c r="BO708" s="67">
        <f t="shared" ref="BO708:BO710" si="3622">IF(Q708-BM708&gt;0,Q708-BM708,0)</f>
        <v>0</v>
      </c>
      <c r="BP708" s="65">
        <f t="shared" ref="BP708:BP710" si="3623">IF(BN708+BO708&gt;0,BN708+BO708,0)</f>
        <v>0</v>
      </c>
      <c r="BQ708" s="65">
        <f t="shared" ref="BQ708:BQ710" si="3624">IF(U708=0,0,U708)</f>
        <v>0</v>
      </c>
      <c r="BR708" s="65">
        <f t="shared" ref="BR708:BR710" si="3625">IF(W708=0,0,W708)</f>
        <v>0</v>
      </c>
      <c r="BS708" s="65">
        <f t="shared" ref="BS708:BS710" si="3626">IF(BQ708+BR708&gt;0,BQ708+BR708,0)</f>
        <v>0</v>
      </c>
      <c r="BT708" s="65">
        <f t="shared" ref="BT708:BT710" si="3627">IF(V708&gt;0,V708,0)</f>
        <v>8899.99</v>
      </c>
      <c r="BU708" s="65">
        <f t="shared" ref="BU708:BU710" si="3628">IF(BP708=0,0,BP708)</f>
        <v>0</v>
      </c>
      <c r="BV708" s="65">
        <f t="shared" ref="BV708:BV710" si="3629">IF(BS708=0,0,BS708)</f>
        <v>0</v>
      </c>
      <c r="BW708" s="65">
        <f t="shared" ref="BW708:BW710" si="3630">IF(BP708+BT708+BV708&gt;0,BP708+BT708+BV708,0)</f>
        <v>8899.99</v>
      </c>
      <c r="BX708" s="6"/>
      <c r="BY708" s="6"/>
      <c r="BZ708" s="6"/>
      <c r="CA708" s="6"/>
      <c r="CB708" s="6"/>
      <c r="CC708" s="6"/>
      <c r="CD708" s="6"/>
      <c r="CE708" s="6"/>
      <c r="CF708" s="6"/>
      <c r="CG708" s="6"/>
    </row>
    <row r="709" spans="1:85" ht="15.75" customHeight="1">
      <c r="A709" s="196"/>
      <c r="B709" s="169"/>
      <c r="C709" s="68" t="s">
        <v>867</v>
      </c>
      <c r="D709" s="380" t="s">
        <v>868</v>
      </c>
      <c r="E709" s="99">
        <v>0</v>
      </c>
      <c r="F709" s="99">
        <v>0</v>
      </c>
      <c r="G709" s="58">
        <f t="shared" si="3614"/>
        <v>0</v>
      </c>
      <c r="H709" s="99">
        <v>0</v>
      </c>
      <c r="I709" s="59">
        <f t="shared" si="3007"/>
        <v>0</v>
      </c>
      <c r="J709" s="59">
        <f t="shared" si="2705"/>
        <v>0</v>
      </c>
      <c r="K709" s="74">
        <v>0</v>
      </c>
      <c r="L709" s="74">
        <v>0</v>
      </c>
      <c r="M709" s="74">
        <v>0</v>
      </c>
      <c r="N709" s="74">
        <v>0</v>
      </c>
      <c r="O709" s="61">
        <f t="shared" ref="O709:Q709" si="3631">AA709+AD709+AG709+AJ709+AM709+AP709+AS709+AV709+AY709+BB709+BE709+BH709</f>
        <v>0</v>
      </c>
      <c r="P709" s="61">
        <f t="shared" si="3631"/>
        <v>0</v>
      </c>
      <c r="Q709" s="61">
        <f t="shared" si="3631"/>
        <v>0</v>
      </c>
      <c r="R709" s="61">
        <f t="shared" ref="R709:T709" si="3632">IF(BK709=0,SUM(AA709+AD709+AG709+AJ709+AM709+AP709+AS709+AV709+AY709+BB709+BE709+BH709),BK709)</f>
        <v>0</v>
      </c>
      <c r="S709" s="61">
        <f t="shared" si="3632"/>
        <v>0</v>
      </c>
      <c r="T709" s="61">
        <f t="shared" si="3632"/>
        <v>0</v>
      </c>
      <c r="U709" s="63">
        <f t="shared" si="3617"/>
        <v>0</v>
      </c>
      <c r="V709" s="63">
        <f t="shared" si="3618"/>
        <v>0</v>
      </c>
      <c r="W709" s="63">
        <f t="shared" si="3619"/>
        <v>0</v>
      </c>
      <c r="X709" s="64">
        <f t="shared" ref="X709:Y709" si="3633">IF(O709&gt;0,O709/K709,0)</f>
        <v>0</v>
      </c>
      <c r="Y709" s="64">
        <f t="shared" si="3633"/>
        <v>0</v>
      </c>
      <c r="Z709" s="64">
        <f t="shared" si="3511"/>
        <v>0</v>
      </c>
      <c r="AA709" s="65"/>
      <c r="AB709" s="65"/>
      <c r="AC709" s="65"/>
      <c r="AD709" s="65"/>
      <c r="AE709" s="66"/>
      <c r="AF709" s="66"/>
      <c r="AG709" s="66"/>
      <c r="AH709" s="66"/>
      <c r="AI709" s="65"/>
      <c r="AJ709" s="65"/>
      <c r="AK709" s="65"/>
      <c r="AL709" s="65"/>
      <c r="AM709" s="65"/>
      <c r="AN709" s="65"/>
      <c r="AO709" s="65"/>
      <c r="AP709" s="65"/>
      <c r="AQ709" s="65"/>
      <c r="AR709" s="65"/>
      <c r="AS709" s="65"/>
      <c r="AT709" s="65"/>
      <c r="AU709" s="65"/>
      <c r="AV709" s="65"/>
      <c r="AW709" s="65"/>
      <c r="AX709" s="65"/>
      <c r="AY709" s="65"/>
      <c r="AZ709" s="65"/>
      <c r="BA709" s="65"/>
      <c r="BB709" s="65"/>
      <c r="BC709" s="65"/>
      <c r="BD709" s="65"/>
      <c r="BE709" s="65"/>
      <c r="BF709" s="65"/>
      <c r="BG709" s="65"/>
      <c r="BH709" s="65"/>
      <c r="BI709" s="65"/>
      <c r="BJ709" s="65"/>
      <c r="BK709" s="65">
        <v>0</v>
      </c>
      <c r="BL709" s="65">
        <v>0</v>
      </c>
      <c r="BM709" s="65">
        <v>0</v>
      </c>
      <c r="BN709" s="65">
        <f t="shared" si="3621"/>
        <v>0</v>
      </c>
      <c r="BO709" s="67">
        <f t="shared" si="3622"/>
        <v>0</v>
      </c>
      <c r="BP709" s="65">
        <f t="shared" si="3623"/>
        <v>0</v>
      </c>
      <c r="BQ709" s="65">
        <f t="shared" si="3624"/>
        <v>0</v>
      </c>
      <c r="BR709" s="65">
        <f t="shared" si="3625"/>
        <v>0</v>
      </c>
      <c r="BS709" s="65">
        <f t="shared" si="3626"/>
        <v>0</v>
      </c>
      <c r="BT709" s="65">
        <f t="shared" si="3627"/>
        <v>0</v>
      </c>
      <c r="BU709" s="65">
        <f t="shared" si="3628"/>
        <v>0</v>
      </c>
      <c r="BV709" s="65">
        <f t="shared" si="3629"/>
        <v>0</v>
      </c>
      <c r="BW709" s="65">
        <f t="shared" si="3630"/>
        <v>0</v>
      </c>
      <c r="BX709" s="6"/>
      <c r="BY709" s="6"/>
      <c r="BZ709" s="6"/>
      <c r="CA709" s="6"/>
      <c r="CB709" s="6"/>
      <c r="CC709" s="6"/>
      <c r="CD709" s="6"/>
      <c r="CE709" s="6"/>
      <c r="CF709" s="6"/>
      <c r="CG709" s="6"/>
    </row>
    <row r="710" spans="1:85" ht="15.75" customHeight="1">
      <c r="A710" s="381"/>
      <c r="B710" s="186"/>
      <c r="C710" s="71" t="s">
        <v>869</v>
      </c>
      <c r="D710" s="382" t="s">
        <v>870</v>
      </c>
      <c r="E710" s="99">
        <v>0</v>
      </c>
      <c r="F710" s="99">
        <v>0</v>
      </c>
      <c r="G710" s="58">
        <f t="shared" si="3614"/>
        <v>0</v>
      </c>
      <c r="H710" s="99">
        <v>0</v>
      </c>
      <c r="I710" s="59">
        <f t="shared" si="3007"/>
        <v>0</v>
      </c>
      <c r="J710" s="59">
        <f t="shared" si="2705"/>
        <v>0</v>
      </c>
      <c r="K710" s="74">
        <v>0</v>
      </c>
      <c r="L710" s="74">
        <v>0</v>
      </c>
      <c r="M710" s="74">
        <v>0</v>
      </c>
      <c r="N710" s="74">
        <v>0</v>
      </c>
      <c r="O710" s="61">
        <f t="shared" ref="O710:Q710" si="3634">AA710+AD710+AG710+AJ710+AM710+AP710+AS710+AV710+AY710+BB710+BE710+BH710</f>
        <v>0</v>
      </c>
      <c r="P710" s="61">
        <f t="shared" si="3634"/>
        <v>0</v>
      </c>
      <c r="Q710" s="61">
        <f t="shared" si="3634"/>
        <v>0</v>
      </c>
      <c r="R710" s="61">
        <f t="shared" ref="R710:T710" si="3635">IF(BK710=0,SUM(AA710+AD710+AG710+AJ710+AM710+AP710+AS710+AV710+AY710+BB710+BE710+BH710),BK710)</f>
        <v>0</v>
      </c>
      <c r="S710" s="61">
        <f t="shared" si="3635"/>
        <v>0</v>
      </c>
      <c r="T710" s="61">
        <f t="shared" si="3635"/>
        <v>0</v>
      </c>
      <c r="U710" s="63">
        <f t="shared" si="3617"/>
        <v>0</v>
      </c>
      <c r="V710" s="63">
        <f t="shared" si="3618"/>
        <v>0</v>
      </c>
      <c r="W710" s="63">
        <f t="shared" si="3619"/>
        <v>0</v>
      </c>
      <c r="X710" s="64">
        <f t="shared" ref="X710:Y710" si="3636">IF(O710&gt;0,O710/K710,0)</f>
        <v>0</v>
      </c>
      <c r="Y710" s="64">
        <f t="shared" si="3636"/>
        <v>0</v>
      </c>
      <c r="Z710" s="64">
        <f t="shared" si="3511"/>
        <v>0</v>
      </c>
      <c r="AA710" s="65"/>
      <c r="AB710" s="65"/>
      <c r="AC710" s="65"/>
      <c r="AD710" s="65"/>
      <c r="AE710" s="66"/>
      <c r="AF710" s="66"/>
      <c r="AG710" s="66"/>
      <c r="AH710" s="66"/>
      <c r="AI710" s="65"/>
      <c r="AJ710" s="65"/>
      <c r="AK710" s="65"/>
      <c r="AL710" s="65"/>
      <c r="AM710" s="65"/>
      <c r="AN710" s="65"/>
      <c r="AO710" s="65"/>
      <c r="AP710" s="65"/>
      <c r="AQ710" s="65"/>
      <c r="AR710" s="65"/>
      <c r="AS710" s="65"/>
      <c r="AT710" s="65"/>
      <c r="AU710" s="65"/>
      <c r="AV710" s="65"/>
      <c r="AW710" s="65"/>
      <c r="AX710" s="65"/>
      <c r="AY710" s="65"/>
      <c r="AZ710" s="65"/>
      <c r="BA710" s="65"/>
      <c r="BB710" s="65"/>
      <c r="BC710" s="65"/>
      <c r="BD710" s="65"/>
      <c r="BE710" s="65"/>
      <c r="BF710" s="65"/>
      <c r="BG710" s="65"/>
      <c r="BH710" s="65"/>
      <c r="BI710" s="65"/>
      <c r="BJ710" s="65"/>
      <c r="BK710" s="65">
        <v>0</v>
      </c>
      <c r="BL710" s="65">
        <v>0</v>
      </c>
      <c r="BM710" s="65">
        <v>0</v>
      </c>
      <c r="BN710" s="65">
        <f t="shared" si="3621"/>
        <v>0</v>
      </c>
      <c r="BO710" s="67">
        <f t="shared" si="3622"/>
        <v>0</v>
      </c>
      <c r="BP710" s="65">
        <f t="shared" si="3623"/>
        <v>0</v>
      </c>
      <c r="BQ710" s="65">
        <f t="shared" si="3624"/>
        <v>0</v>
      </c>
      <c r="BR710" s="65">
        <f t="shared" si="3625"/>
        <v>0</v>
      </c>
      <c r="BS710" s="65">
        <f t="shared" si="3626"/>
        <v>0</v>
      </c>
      <c r="BT710" s="65">
        <f t="shared" si="3627"/>
        <v>0</v>
      </c>
      <c r="BU710" s="65">
        <f t="shared" si="3628"/>
        <v>0</v>
      </c>
      <c r="BV710" s="65">
        <f t="shared" si="3629"/>
        <v>0</v>
      </c>
      <c r="BW710" s="65">
        <f t="shared" si="3630"/>
        <v>0</v>
      </c>
      <c r="BX710" s="6"/>
      <c r="BY710" s="6"/>
      <c r="BZ710" s="6"/>
      <c r="CA710" s="6"/>
      <c r="CB710" s="6"/>
      <c r="CC710" s="6"/>
      <c r="CD710" s="6"/>
      <c r="CE710" s="6"/>
      <c r="CF710" s="6"/>
      <c r="CG710" s="6"/>
    </row>
    <row r="711" spans="1:85" ht="15.75" customHeight="1">
      <c r="A711" s="34"/>
      <c r="B711" s="35"/>
      <c r="C711" s="36"/>
      <c r="D711" s="37" t="s">
        <v>79</v>
      </c>
      <c r="E711" s="38">
        <f t="shared" ref="E711:H711" si="3637">E712+E718+E720+E722+E725+E740+E744</f>
        <v>0</v>
      </c>
      <c r="F711" s="38">
        <f t="shared" si="3637"/>
        <v>0</v>
      </c>
      <c r="G711" s="38">
        <f t="shared" si="3637"/>
        <v>0</v>
      </c>
      <c r="H711" s="38">
        <f t="shared" si="3637"/>
        <v>917000</v>
      </c>
      <c r="I711" s="39">
        <f t="shared" si="3007"/>
        <v>0</v>
      </c>
      <c r="J711" s="39">
        <f t="shared" si="2705"/>
        <v>0</v>
      </c>
      <c r="K711" s="38">
        <f t="shared" ref="K711:W711" si="3638">K712+K718+K720+K722+K725+K740+K744</f>
        <v>0</v>
      </c>
      <c r="L711" s="38">
        <f t="shared" si="3638"/>
        <v>425162.58</v>
      </c>
      <c r="M711" s="38">
        <f t="shared" si="3638"/>
        <v>0</v>
      </c>
      <c r="N711" s="38">
        <f t="shared" si="3638"/>
        <v>0</v>
      </c>
      <c r="O711" s="38">
        <f t="shared" si="3638"/>
        <v>0</v>
      </c>
      <c r="P711" s="38">
        <f t="shared" si="3638"/>
        <v>424752.58</v>
      </c>
      <c r="Q711" s="38">
        <f t="shared" si="3638"/>
        <v>0</v>
      </c>
      <c r="R711" s="38">
        <f t="shared" si="3638"/>
        <v>0</v>
      </c>
      <c r="S711" s="38">
        <f t="shared" si="3638"/>
        <v>424752.58</v>
      </c>
      <c r="T711" s="38">
        <f t="shared" si="3638"/>
        <v>0</v>
      </c>
      <c r="U711" s="38">
        <f t="shared" si="3638"/>
        <v>0</v>
      </c>
      <c r="V711" s="38">
        <f t="shared" si="3638"/>
        <v>410</v>
      </c>
      <c r="W711" s="38">
        <f t="shared" si="3638"/>
        <v>0</v>
      </c>
      <c r="X711" s="40">
        <f t="shared" ref="X711:Y711" si="3639">IF(O711&gt;0,O711/K711,0)</f>
        <v>0</v>
      </c>
      <c r="Y711" s="40">
        <f t="shared" si="3639"/>
        <v>0.99903566301625135</v>
      </c>
      <c r="Z711" s="40">
        <f t="shared" si="3511"/>
        <v>0</v>
      </c>
      <c r="AA711" s="38">
        <f t="shared" ref="AA711:BW711" si="3640">AA712+AA718+AA720+AA722+AA725+AA740+AA744</f>
        <v>0</v>
      </c>
      <c r="AB711" s="38">
        <f t="shared" si="3640"/>
        <v>96404.27</v>
      </c>
      <c r="AC711" s="38">
        <f t="shared" si="3640"/>
        <v>0</v>
      </c>
      <c r="AD711" s="38">
        <f t="shared" si="3640"/>
        <v>0</v>
      </c>
      <c r="AE711" s="38">
        <f t="shared" si="3640"/>
        <v>188226.83000000002</v>
      </c>
      <c r="AF711" s="38">
        <f t="shared" si="3640"/>
        <v>0</v>
      </c>
      <c r="AG711" s="38">
        <f t="shared" si="3640"/>
        <v>0</v>
      </c>
      <c r="AH711" s="38">
        <f t="shared" si="3640"/>
        <v>116148.08</v>
      </c>
      <c r="AI711" s="38">
        <f t="shared" si="3640"/>
        <v>0</v>
      </c>
      <c r="AJ711" s="38">
        <f t="shared" si="3640"/>
        <v>0</v>
      </c>
      <c r="AK711" s="38">
        <f t="shared" si="3640"/>
        <v>0</v>
      </c>
      <c r="AL711" s="38">
        <f t="shared" si="3640"/>
        <v>0</v>
      </c>
      <c r="AM711" s="38">
        <f t="shared" si="3640"/>
        <v>0</v>
      </c>
      <c r="AN711" s="38">
        <f t="shared" si="3640"/>
        <v>3973.4</v>
      </c>
      <c r="AO711" s="38">
        <f t="shared" si="3640"/>
        <v>0</v>
      </c>
      <c r="AP711" s="38">
        <f t="shared" si="3640"/>
        <v>0</v>
      </c>
      <c r="AQ711" s="38">
        <f t="shared" si="3640"/>
        <v>20000</v>
      </c>
      <c r="AR711" s="38">
        <f t="shared" si="3640"/>
        <v>0</v>
      </c>
      <c r="AS711" s="38">
        <f t="shared" si="3640"/>
        <v>0</v>
      </c>
      <c r="AT711" s="38">
        <f t="shared" si="3640"/>
        <v>0</v>
      </c>
      <c r="AU711" s="38">
        <f t="shared" si="3640"/>
        <v>0</v>
      </c>
      <c r="AV711" s="38">
        <f t="shared" si="3640"/>
        <v>0</v>
      </c>
      <c r="AW711" s="38">
        <f t="shared" si="3640"/>
        <v>0</v>
      </c>
      <c r="AX711" s="38">
        <f t="shared" si="3640"/>
        <v>0</v>
      </c>
      <c r="AY711" s="38">
        <f t="shared" si="3640"/>
        <v>0</v>
      </c>
      <c r="AZ711" s="38">
        <f t="shared" si="3640"/>
        <v>0</v>
      </c>
      <c r="BA711" s="38">
        <f t="shared" si="3640"/>
        <v>0</v>
      </c>
      <c r="BB711" s="38">
        <f t="shared" si="3640"/>
        <v>0</v>
      </c>
      <c r="BC711" s="38">
        <f t="shared" si="3640"/>
        <v>0</v>
      </c>
      <c r="BD711" s="38">
        <f t="shared" si="3640"/>
        <v>0</v>
      </c>
      <c r="BE711" s="38">
        <f t="shared" si="3640"/>
        <v>0</v>
      </c>
      <c r="BF711" s="38">
        <f t="shared" si="3640"/>
        <v>0</v>
      </c>
      <c r="BG711" s="38">
        <f t="shared" si="3640"/>
        <v>0</v>
      </c>
      <c r="BH711" s="38">
        <f t="shared" si="3640"/>
        <v>0</v>
      </c>
      <c r="BI711" s="38">
        <f t="shared" si="3640"/>
        <v>0</v>
      </c>
      <c r="BJ711" s="38">
        <f t="shared" si="3640"/>
        <v>0</v>
      </c>
      <c r="BK711" s="38">
        <f t="shared" si="3640"/>
        <v>0</v>
      </c>
      <c r="BL711" s="38">
        <f t="shared" si="3640"/>
        <v>0</v>
      </c>
      <c r="BM711" s="38">
        <f t="shared" si="3640"/>
        <v>0</v>
      </c>
      <c r="BN711" s="38">
        <f t="shared" si="3640"/>
        <v>0</v>
      </c>
      <c r="BO711" s="38">
        <f t="shared" si="3640"/>
        <v>0</v>
      </c>
      <c r="BP711" s="38">
        <f t="shared" si="3640"/>
        <v>0</v>
      </c>
      <c r="BQ711" s="38">
        <f t="shared" si="3640"/>
        <v>0</v>
      </c>
      <c r="BR711" s="38">
        <f t="shared" si="3640"/>
        <v>0</v>
      </c>
      <c r="BS711" s="38">
        <f t="shared" si="3640"/>
        <v>0</v>
      </c>
      <c r="BT711" s="38">
        <f t="shared" si="3640"/>
        <v>410</v>
      </c>
      <c r="BU711" s="38">
        <f t="shared" si="3640"/>
        <v>0</v>
      </c>
      <c r="BV711" s="38">
        <f t="shared" si="3640"/>
        <v>0</v>
      </c>
      <c r="BW711" s="38">
        <f t="shared" si="3640"/>
        <v>410</v>
      </c>
      <c r="BX711" s="6"/>
      <c r="BY711" s="6"/>
      <c r="BZ711" s="6"/>
      <c r="CA711" s="6"/>
      <c r="CB711" s="6"/>
      <c r="CC711" s="6"/>
      <c r="CD711" s="6"/>
      <c r="CE711" s="6"/>
      <c r="CF711" s="6"/>
      <c r="CG711" s="6"/>
    </row>
    <row r="712" spans="1:85" ht="15.75">
      <c r="A712" s="75"/>
      <c r="B712" s="76"/>
      <c r="C712" s="77"/>
      <c r="D712" s="78" t="s">
        <v>83</v>
      </c>
      <c r="E712" s="45">
        <f t="shared" ref="E712:H712" si="3641">SUM(E713:E717)</f>
        <v>0</v>
      </c>
      <c r="F712" s="45">
        <f t="shared" si="3641"/>
        <v>0</v>
      </c>
      <c r="G712" s="45">
        <f t="shared" si="3641"/>
        <v>0</v>
      </c>
      <c r="H712" s="45">
        <f t="shared" si="3641"/>
        <v>197500</v>
      </c>
      <c r="I712" s="47">
        <f t="shared" si="3007"/>
        <v>0</v>
      </c>
      <c r="J712" s="47">
        <f t="shared" si="2705"/>
        <v>0</v>
      </c>
      <c r="K712" s="45">
        <f t="shared" ref="K712:W712" si="3642">SUM(K713:K717)</f>
        <v>0</v>
      </c>
      <c r="L712" s="45">
        <f t="shared" si="3642"/>
        <v>0</v>
      </c>
      <c r="M712" s="45">
        <f t="shared" si="3642"/>
        <v>0</v>
      </c>
      <c r="N712" s="45">
        <f t="shared" si="3642"/>
        <v>0</v>
      </c>
      <c r="O712" s="45">
        <f t="shared" si="3642"/>
        <v>0</v>
      </c>
      <c r="P712" s="45">
        <f t="shared" si="3642"/>
        <v>0</v>
      </c>
      <c r="Q712" s="45">
        <f t="shared" si="3642"/>
        <v>0</v>
      </c>
      <c r="R712" s="45">
        <f t="shared" si="3642"/>
        <v>0</v>
      </c>
      <c r="S712" s="45">
        <f t="shared" si="3642"/>
        <v>0</v>
      </c>
      <c r="T712" s="45">
        <f t="shared" si="3642"/>
        <v>0</v>
      </c>
      <c r="U712" s="45">
        <f t="shared" si="3642"/>
        <v>0</v>
      </c>
      <c r="V712" s="45">
        <f t="shared" si="3642"/>
        <v>0</v>
      </c>
      <c r="W712" s="45">
        <f t="shared" si="3642"/>
        <v>0</v>
      </c>
      <c r="X712" s="50">
        <f t="shared" ref="X712:Y712" si="3643">IF(O712&gt;0,O712/K712,0)</f>
        <v>0</v>
      </c>
      <c r="Y712" s="50">
        <f t="shared" si="3643"/>
        <v>0</v>
      </c>
      <c r="Z712" s="50">
        <f t="shared" si="3511"/>
        <v>0</v>
      </c>
      <c r="AA712" s="45">
        <f t="shared" ref="AA712:BW712" si="3644">SUM(AA713:AA717)</f>
        <v>0</v>
      </c>
      <c r="AB712" s="45">
        <f t="shared" si="3644"/>
        <v>0</v>
      </c>
      <c r="AC712" s="45">
        <f t="shared" si="3644"/>
        <v>0</v>
      </c>
      <c r="AD712" s="45">
        <f t="shared" si="3644"/>
        <v>0</v>
      </c>
      <c r="AE712" s="45">
        <f t="shared" si="3644"/>
        <v>0</v>
      </c>
      <c r="AF712" s="45">
        <f t="shared" si="3644"/>
        <v>0</v>
      </c>
      <c r="AG712" s="45">
        <f t="shared" si="3644"/>
        <v>0</v>
      </c>
      <c r="AH712" s="45">
        <f t="shared" si="3644"/>
        <v>0</v>
      </c>
      <c r="AI712" s="45">
        <f t="shared" si="3644"/>
        <v>0</v>
      </c>
      <c r="AJ712" s="45">
        <f t="shared" si="3644"/>
        <v>0</v>
      </c>
      <c r="AK712" s="45">
        <f t="shared" si="3644"/>
        <v>0</v>
      </c>
      <c r="AL712" s="45">
        <f t="shared" si="3644"/>
        <v>0</v>
      </c>
      <c r="AM712" s="45">
        <f t="shared" si="3644"/>
        <v>0</v>
      </c>
      <c r="AN712" s="45">
        <f t="shared" si="3644"/>
        <v>0</v>
      </c>
      <c r="AO712" s="45">
        <f t="shared" si="3644"/>
        <v>0</v>
      </c>
      <c r="AP712" s="45">
        <f t="shared" si="3644"/>
        <v>0</v>
      </c>
      <c r="AQ712" s="45">
        <f t="shared" si="3644"/>
        <v>0</v>
      </c>
      <c r="AR712" s="45">
        <f t="shared" si="3644"/>
        <v>0</v>
      </c>
      <c r="AS712" s="45">
        <f t="shared" si="3644"/>
        <v>0</v>
      </c>
      <c r="AT712" s="45">
        <f t="shared" si="3644"/>
        <v>0</v>
      </c>
      <c r="AU712" s="45">
        <f t="shared" si="3644"/>
        <v>0</v>
      </c>
      <c r="AV712" s="45">
        <f t="shared" si="3644"/>
        <v>0</v>
      </c>
      <c r="AW712" s="45">
        <f t="shared" si="3644"/>
        <v>0</v>
      </c>
      <c r="AX712" s="45">
        <f t="shared" si="3644"/>
        <v>0</v>
      </c>
      <c r="AY712" s="45">
        <f t="shared" si="3644"/>
        <v>0</v>
      </c>
      <c r="AZ712" s="45">
        <f t="shared" si="3644"/>
        <v>0</v>
      </c>
      <c r="BA712" s="45">
        <f t="shared" si="3644"/>
        <v>0</v>
      </c>
      <c r="BB712" s="45">
        <f t="shared" si="3644"/>
        <v>0</v>
      </c>
      <c r="BC712" s="45">
        <f t="shared" si="3644"/>
        <v>0</v>
      </c>
      <c r="BD712" s="45">
        <f t="shared" si="3644"/>
        <v>0</v>
      </c>
      <c r="BE712" s="45">
        <f t="shared" si="3644"/>
        <v>0</v>
      </c>
      <c r="BF712" s="45">
        <f t="shared" si="3644"/>
        <v>0</v>
      </c>
      <c r="BG712" s="45">
        <f t="shared" si="3644"/>
        <v>0</v>
      </c>
      <c r="BH712" s="45">
        <f t="shared" si="3644"/>
        <v>0</v>
      </c>
      <c r="BI712" s="45">
        <f t="shared" si="3644"/>
        <v>0</v>
      </c>
      <c r="BJ712" s="45">
        <f t="shared" si="3644"/>
        <v>0</v>
      </c>
      <c r="BK712" s="45">
        <f t="shared" si="3644"/>
        <v>0</v>
      </c>
      <c r="BL712" s="45">
        <f t="shared" si="3644"/>
        <v>0</v>
      </c>
      <c r="BM712" s="45">
        <f t="shared" si="3644"/>
        <v>0</v>
      </c>
      <c r="BN712" s="45">
        <f t="shared" si="3644"/>
        <v>0</v>
      </c>
      <c r="BO712" s="45">
        <f t="shared" si="3644"/>
        <v>0</v>
      </c>
      <c r="BP712" s="45">
        <f t="shared" si="3644"/>
        <v>0</v>
      </c>
      <c r="BQ712" s="45">
        <f t="shared" si="3644"/>
        <v>0</v>
      </c>
      <c r="BR712" s="45">
        <f t="shared" si="3644"/>
        <v>0</v>
      </c>
      <c r="BS712" s="45">
        <f t="shared" si="3644"/>
        <v>0</v>
      </c>
      <c r="BT712" s="45">
        <f t="shared" si="3644"/>
        <v>0</v>
      </c>
      <c r="BU712" s="45">
        <f t="shared" si="3644"/>
        <v>0</v>
      </c>
      <c r="BV712" s="45">
        <f t="shared" si="3644"/>
        <v>0</v>
      </c>
      <c r="BW712" s="45">
        <f t="shared" si="3644"/>
        <v>0</v>
      </c>
      <c r="BX712" s="51"/>
      <c r="BY712" s="51"/>
      <c r="BZ712" s="51"/>
      <c r="CA712" s="51"/>
      <c r="CB712" s="51"/>
      <c r="CC712" s="51"/>
      <c r="CD712" s="51"/>
      <c r="CE712" s="51"/>
      <c r="CF712" s="51"/>
      <c r="CG712" s="51"/>
    </row>
    <row r="713" spans="1:85" ht="15.75" customHeight="1">
      <c r="A713" s="68"/>
      <c r="B713" s="103"/>
      <c r="C713" s="68" t="s">
        <v>84</v>
      </c>
      <c r="D713" s="122" t="s">
        <v>499</v>
      </c>
      <c r="E713" s="99">
        <v>0</v>
      </c>
      <c r="F713" s="99">
        <v>0</v>
      </c>
      <c r="G713" s="58">
        <f t="shared" ref="G713:G717" si="3645">E713-F713</f>
        <v>0</v>
      </c>
      <c r="H713" s="56">
        <v>97500</v>
      </c>
      <c r="I713" s="59">
        <f t="shared" si="3007"/>
        <v>0</v>
      </c>
      <c r="J713" s="59">
        <f t="shared" si="2705"/>
        <v>0</v>
      </c>
      <c r="K713" s="74">
        <v>0</v>
      </c>
      <c r="L713" s="74">
        <v>0</v>
      </c>
      <c r="M713" s="74">
        <v>0</v>
      </c>
      <c r="N713" s="74">
        <v>0</v>
      </c>
      <c r="O713" s="61">
        <f t="shared" ref="O713:Q713" si="3646">AA713+AD713+AG713+AJ713+AM713+AP713+AS713+AV713+AY713+BB713+BE713+BH713</f>
        <v>0</v>
      </c>
      <c r="P713" s="61">
        <f t="shared" si="3646"/>
        <v>0</v>
      </c>
      <c r="Q713" s="61">
        <f t="shared" si="3646"/>
        <v>0</v>
      </c>
      <c r="R713" s="61">
        <f t="shared" ref="R713:T713" si="3647">IF(BK713=0,SUM(AA713+AD713+AG713+AJ713+AM713+AP713+AS713+AV713+AY713+BB713+BE713+BH713),BK713)</f>
        <v>0</v>
      </c>
      <c r="S713" s="61">
        <f t="shared" si="3647"/>
        <v>0</v>
      </c>
      <c r="T713" s="61">
        <f t="shared" si="3647"/>
        <v>0</v>
      </c>
      <c r="U713" s="63">
        <f t="shared" ref="U713:U717" si="3648">K713-O713</f>
        <v>0</v>
      </c>
      <c r="V713" s="63">
        <f t="shared" ref="V713:V717" si="3649">L713-M713-S713</f>
        <v>0</v>
      </c>
      <c r="W713" s="63">
        <f t="shared" ref="W713:W717" si="3650">N713-Q713</f>
        <v>0</v>
      </c>
      <c r="X713" s="64">
        <f t="shared" ref="X713:Y713" si="3651">IF(O713&gt;0,O713/K713,0)</f>
        <v>0</v>
      </c>
      <c r="Y713" s="64">
        <f t="shared" si="3651"/>
        <v>0</v>
      </c>
      <c r="Z713" s="64">
        <f t="shared" si="3511"/>
        <v>0</v>
      </c>
      <c r="AA713" s="65"/>
      <c r="AB713" s="65"/>
      <c r="AC713" s="65"/>
      <c r="AD713" s="65"/>
      <c r="AE713" s="66"/>
      <c r="AF713" s="66"/>
      <c r="AG713" s="66"/>
      <c r="AH713" s="66"/>
      <c r="AI713" s="65"/>
      <c r="AJ713" s="65"/>
      <c r="AK713" s="65"/>
      <c r="AL713" s="65"/>
      <c r="AM713" s="65"/>
      <c r="AN713" s="65"/>
      <c r="AO713" s="65"/>
      <c r="AP713" s="65"/>
      <c r="AQ713" s="65"/>
      <c r="AR713" s="65"/>
      <c r="AS713" s="65"/>
      <c r="AT713" s="65"/>
      <c r="AU713" s="65"/>
      <c r="AV713" s="65"/>
      <c r="AW713" s="65"/>
      <c r="AX713" s="65"/>
      <c r="AY713" s="65"/>
      <c r="AZ713" s="65"/>
      <c r="BA713" s="65"/>
      <c r="BB713" s="65"/>
      <c r="BC713" s="65"/>
      <c r="BD713" s="65"/>
      <c r="BE713" s="65"/>
      <c r="BF713" s="65"/>
      <c r="BG713" s="65"/>
      <c r="BH713" s="65"/>
      <c r="BI713" s="65"/>
      <c r="BJ713" s="65"/>
      <c r="BK713" s="65">
        <v>0</v>
      </c>
      <c r="BL713" s="65">
        <v>0</v>
      </c>
      <c r="BM713" s="65">
        <v>0</v>
      </c>
      <c r="BN713" s="65">
        <f t="shared" ref="BN713:BN717" si="3652">IF(O713-BK713&gt;0,O713-BK713,0)</f>
        <v>0</v>
      </c>
      <c r="BO713" s="67">
        <f t="shared" ref="BO713:BO717" si="3653">IF(Q713-BM713&gt;0,Q713-BM713,0)</f>
        <v>0</v>
      </c>
      <c r="BP713" s="65">
        <f t="shared" ref="BP713:BP717" si="3654">IF(BN713+BO713&gt;0,BN713+BO713,0)</f>
        <v>0</v>
      </c>
      <c r="BQ713" s="65">
        <f t="shared" ref="BQ713:BQ717" si="3655">IF(U713=0,0,U713)</f>
        <v>0</v>
      </c>
      <c r="BR713" s="65">
        <f t="shared" ref="BR713:BR717" si="3656">IF(W713=0,0,W713)</f>
        <v>0</v>
      </c>
      <c r="BS713" s="65">
        <f t="shared" ref="BS713:BS717" si="3657">IF(BQ713+BR713&gt;0,BQ713+BR713,0)</f>
        <v>0</v>
      </c>
      <c r="BT713" s="65">
        <f t="shared" ref="BT713:BT717" si="3658">IF(V713&gt;0,V713,0)</f>
        <v>0</v>
      </c>
      <c r="BU713" s="65">
        <f t="shared" ref="BU713:BU717" si="3659">IF(BP713=0,0,BP713)</f>
        <v>0</v>
      </c>
      <c r="BV713" s="65">
        <f t="shared" ref="BV713:BV717" si="3660">IF(BS713=0,0,BS713)</f>
        <v>0</v>
      </c>
      <c r="BW713" s="65">
        <f t="shared" ref="BW713:BW717" si="3661">IF(BP713+BT713+BV713&gt;0,BP713+BT713+BV713,0)</f>
        <v>0</v>
      </c>
      <c r="BX713" s="6"/>
      <c r="BY713" s="6"/>
      <c r="BZ713" s="6"/>
      <c r="CA713" s="6"/>
      <c r="CB713" s="6"/>
      <c r="CC713" s="6"/>
      <c r="CD713" s="6"/>
      <c r="CE713" s="6"/>
      <c r="CF713" s="6"/>
      <c r="CG713" s="6"/>
    </row>
    <row r="714" spans="1:85" ht="15.75" customHeight="1">
      <c r="A714" s="68"/>
      <c r="B714" s="103"/>
      <c r="C714" s="68" t="s">
        <v>535</v>
      </c>
      <c r="D714" s="124" t="s">
        <v>536</v>
      </c>
      <c r="E714" s="99">
        <v>0</v>
      </c>
      <c r="F714" s="99">
        <v>0</v>
      </c>
      <c r="G714" s="58">
        <f t="shared" si="3645"/>
        <v>0</v>
      </c>
      <c r="H714" s="57">
        <v>0</v>
      </c>
      <c r="I714" s="59">
        <f t="shared" si="3007"/>
        <v>0</v>
      </c>
      <c r="J714" s="59">
        <f t="shared" si="2705"/>
        <v>0</v>
      </c>
      <c r="K714" s="74">
        <v>0</v>
      </c>
      <c r="L714" s="74">
        <v>0</v>
      </c>
      <c r="M714" s="74">
        <v>0</v>
      </c>
      <c r="N714" s="74">
        <v>0</v>
      </c>
      <c r="O714" s="61">
        <f t="shared" ref="O714:Q714" si="3662">AA714+AD714+AG714+AJ714+AM714+AP714+AS714+AV714+AY714+BB714+BE714+BH714</f>
        <v>0</v>
      </c>
      <c r="P714" s="61">
        <f t="shared" si="3662"/>
        <v>0</v>
      </c>
      <c r="Q714" s="61">
        <f t="shared" si="3662"/>
        <v>0</v>
      </c>
      <c r="R714" s="61">
        <f t="shared" ref="R714:T714" si="3663">IF(BK714=0,SUM(AA714+AD714+AG714+AJ714+AM714+AP714+AS714+AV714+AY714+BB714+BE714+BH714),BK714)</f>
        <v>0</v>
      </c>
      <c r="S714" s="61">
        <f t="shared" si="3663"/>
        <v>0</v>
      </c>
      <c r="T714" s="61">
        <f t="shared" si="3663"/>
        <v>0</v>
      </c>
      <c r="U714" s="63">
        <f t="shared" si="3648"/>
        <v>0</v>
      </c>
      <c r="V714" s="63">
        <f t="shared" si="3649"/>
        <v>0</v>
      </c>
      <c r="W714" s="63">
        <f t="shared" si="3650"/>
        <v>0</v>
      </c>
      <c r="X714" s="64">
        <f t="shared" ref="X714:Y714" si="3664">IF(O714&gt;0,O714/K714,0)</f>
        <v>0</v>
      </c>
      <c r="Y714" s="64">
        <f t="shared" si="3664"/>
        <v>0</v>
      </c>
      <c r="Z714" s="64">
        <f t="shared" si="3511"/>
        <v>0</v>
      </c>
      <c r="AA714" s="65"/>
      <c r="AB714" s="65"/>
      <c r="AC714" s="65"/>
      <c r="AD714" s="65"/>
      <c r="AE714" s="66"/>
      <c r="AF714" s="66"/>
      <c r="AG714" s="66"/>
      <c r="AH714" s="66"/>
      <c r="AI714" s="65"/>
      <c r="AJ714" s="65"/>
      <c r="AK714" s="65"/>
      <c r="AL714" s="65"/>
      <c r="AM714" s="65"/>
      <c r="AN714" s="65"/>
      <c r="AO714" s="65"/>
      <c r="AP714" s="65"/>
      <c r="AQ714" s="65"/>
      <c r="AR714" s="65"/>
      <c r="AS714" s="65"/>
      <c r="AT714" s="65"/>
      <c r="AU714" s="65"/>
      <c r="AV714" s="65"/>
      <c r="AW714" s="65"/>
      <c r="AX714" s="65"/>
      <c r="AY714" s="65"/>
      <c r="AZ714" s="65"/>
      <c r="BA714" s="65"/>
      <c r="BB714" s="65"/>
      <c r="BC714" s="65"/>
      <c r="BD714" s="65"/>
      <c r="BE714" s="65"/>
      <c r="BF714" s="65"/>
      <c r="BG714" s="65"/>
      <c r="BH714" s="65"/>
      <c r="BI714" s="65"/>
      <c r="BJ714" s="65"/>
      <c r="BK714" s="65">
        <v>0</v>
      </c>
      <c r="BL714" s="65">
        <v>0</v>
      </c>
      <c r="BM714" s="65">
        <v>0</v>
      </c>
      <c r="BN714" s="65">
        <f t="shared" si="3652"/>
        <v>0</v>
      </c>
      <c r="BO714" s="67">
        <f t="shared" si="3653"/>
        <v>0</v>
      </c>
      <c r="BP714" s="65">
        <f t="shared" si="3654"/>
        <v>0</v>
      </c>
      <c r="BQ714" s="65">
        <f t="shared" si="3655"/>
        <v>0</v>
      </c>
      <c r="BR714" s="65">
        <f t="shared" si="3656"/>
        <v>0</v>
      </c>
      <c r="BS714" s="65">
        <f t="shared" si="3657"/>
        <v>0</v>
      </c>
      <c r="BT714" s="65">
        <f t="shared" si="3658"/>
        <v>0</v>
      </c>
      <c r="BU714" s="65">
        <f t="shared" si="3659"/>
        <v>0</v>
      </c>
      <c r="BV714" s="65">
        <f t="shared" si="3660"/>
        <v>0</v>
      </c>
      <c r="BW714" s="65">
        <f t="shared" si="3661"/>
        <v>0</v>
      </c>
      <c r="BX714" s="6"/>
      <c r="BY714" s="6"/>
      <c r="BZ714" s="6"/>
      <c r="CA714" s="6"/>
      <c r="CB714" s="6"/>
      <c r="CC714" s="6"/>
      <c r="CD714" s="6"/>
      <c r="CE714" s="6"/>
      <c r="CF714" s="6"/>
      <c r="CG714" s="6"/>
    </row>
    <row r="715" spans="1:85" ht="15.75" customHeight="1">
      <c r="A715" s="68"/>
      <c r="B715" s="103"/>
      <c r="C715" s="68" t="s">
        <v>113</v>
      </c>
      <c r="D715" s="105" t="s">
        <v>871</v>
      </c>
      <c r="E715" s="57">
        <v>0</v>
      </c>
      <c r="F715" s="57">
        <v>0</v>
      </c>
      <c r="G715" s="58">
        <f t="shared" si="3645"/>
        <v>0</v>
      </c>
      <c r="H715" s="56">
        <v>30000</v>
      </c>
      <c r="I715" s="59">
        <f t="shared" si="3007"/>
        <v>0</v>
      </c>
      <c r="J715" s="59">
        <f t="shared" si="2705"/>
        <v>0</v>
      </c>
      <c r="K715" s="74">
        <v>0</v>
      </c>
      <c r="L715" s="74">
        <v>0</v>
      </c>
      <c r="M715" s="74">
        <v>0</v>
      </c>
      <c r="N715" s="74">
        <v>0</v>
      </c>
      <c r="O715" s="61">
        <f t="shared" ref="O715:Q715" si="3665">AA715+AD715+AG715+AJ715+AM715+AP715+AS715+AV715+AY715+BB715+BE715+BH715</f>
        <v>0</v>
      </c>
      <c r="P715" s="61">
        <f t="shared" si="3665"/>
        <v>0</v>
      </c>
      <c r="Q715" s="61">
        <f t="shared" si="3665"/>
        <v>0</v>
      </c>
      <c r="R715" s="61">
        <f t="shared" ref="R715:T715" si="3666">IF(BK715=0,SUM(AA715+AD715+AG715+AJ715+AM715+AP715+AS715+AV715+AY715+BB715+BE715+BH715),BK715)</f>
        <v>0</v>
      </c>
      <c r="S715" s="61">
        <f t="shared" si="3666"/>
        <v>0</v>
      </c>
      <c r="T715" s="61">
        <f t="shared" si="3666"/>
        <v>0</v>
      </c>
      <c r="U715" s="63">
        <f t="shared" si="3648"/>
        <v>0</v>
      </c>
      <c r="V715" s="63">
        <f t="shared" si="3649"/>
        <v>0</v>
      </c>
      <c r="W715" s="63">
        <f t="shared" si="3650"/>
        <v>0</v>
      </c>
      <c r="X715" s="64">
        <f t="shared" ref="X715:Y715" si="3667">IF(O715&gt;0,O715/K715,0)</f>
        <v>0</v>
      </c>
      <c r="Y715" s="64">
        <f t="shared" si="3667"/>
        <v>0</v>
      </c>
      <c r="Z715" s="64">
        <f t="shared" si="3511"/>
        <v>0</v>
      </c>
      <c r="AA715" s="65"/>
      <c r="AB715" s="65"/>
      <c r="AC715" s="65"/>
      <c r="AD715" s="65"/>
      <c r="AE715" s="66"/>
      <c r="AF715" s="66"/>
      <c r="AG715" s="66"/>
      <c r="AH715" s="66"/>
      <c r="AI715" s="65"/>
      <c r="AJ715" s="65"/>
      <c r="AK715" s="65"/>
      <c r="AL715" s="65"/>
      <c r="AM715" s="65"/>
      <c r="AN715" s="65"/>
      <c r="AO715" s="65"/>
      <c r="AP715" s="65"/>
      <c r="AQ715" s="65"/>
      <c r="AR715" s="65"/>
      <c r="AS715" s="65"/>
      <c r="AT715" s="65"/>
      <c r="AU715" s="65"/>
      <c r="AV715" s="65"/>
      <c r="AW715" s="65"/>
      <c r="AX715" s="65"/>
      <c r="AY715" s="65"/>
      <c r="AZ715" s="65"/>
      <c r="BA715" s="65"/>
      <c r="BB715" s="65"/>
      <c r="BC715" s="65"/>
      <c r="BD715" s="65"/>
      <c r="BE715" s="65"/>
      <c r="BF715" s="65"/>
      <c r="BG715" s="65"/>
      <c r="BH715" s="65"/>
      <c r="BI715" s="65"/>
      <c r="BJ715" s="65"/>
      <c r="BK715" s="65">
        <v>0</v>
      </c>
      <c r="BL715" s="65">
        <v>0</v>
      </c>
      <c r="BM715" s="65">
        <v>0</v>
      </c>
      <c r="BN715" s="65">
        <f t="shared" si="3652"/>
        <v>0</v>
      </c>
      <c r="BO715" s="67">
        <f t="shared" si="3653"/>
        <v>0</v>
      </c>
      <c r="BP715" s="65">
        <f t="shared" si="3654"/>
        <v>0</v>
      </c>
      <c r="BQ715" s="65">
        <f t="shared" si="3655"/>
        <v>0</v>
      </c>
      <c r="BR715" s="65">
        <f t="shared" si="3656"/>
        <v>0</v>
      </c>
      <c r="BS715" s="65">
        <f t="shared" si="3657"/>
        <v>0</v>
      </c>
      <c r="BT715" s="65">
        <f t="shared" si="3658"/>
        <v>0</v>
      </c>
      <c r="BU715" s="65">
        <f t="shared" si="3659"/>
        <v>0</v>
      </c>
      <c r="BV715" s="65">
        <f t="shared" si="3660"/>
        <v>0</v>
      </c>
      <c r="BW715" s="65">
        <f t="shared" si="3661"/>
        <v>0</v>
      </c>
      <c r="BX715" s="6"/>
      <c r="BY715" s="6"/>
      <c r="BZ715" s="6"/>
      <c r="CA715" s="6"/>
      <c r="CB715" s="6"/>
      <c r="CC715" s="6"/>
      <c r="CD715" s="6"/>
      <c r="CE715" s="6"/>
      <c r="CF715" s="6"/>
      <c r="CG715" s="6"/>
    </row>
    <row r="716" spans="1:85" ht="15.75" customHeight="1">
      <c r="A716" s="68"/>
      <c r="B716" s="103"/>
      <c r="C716" s="68" t="s">
        <v>835</v>
      </c>
      <c r="D716" s="124" t="s">
        <v>872</v>
      </c>
      <c r="E716" s="57">
        <v>0</v>
      </c>
      <c r="F716" s="99">
        <v>0</v>
      </c>
      <c r="G716" s="58">
        <f t="shared" si="3645"/>
        <v>0</v>
      </c>
      <c r="H716" s="56">
        <v>50000</v>
      </c>
      <c r="I716" s="59">
        <f t="shared" si="3007"/>
        <v>0</v>
      </c>
      <c r="J716" s="59">
        <f t="shared" si="2705"/>
        <v>0</v>
      </c>
      <c r="K716" s="74">
        <v>0</v>
      </c>
      <c r="L716" s="74">
        <v>0</v>
      </c>
      <c r="M716" s="74">
        <v>0</v>
      </c>
      <c r="N716" s="74">
        <v>0</v>
      </c>
      <c r="O716" s="61">
        <f t="shared" ref="O716:Q716" si="3668">AA716+AD716+AG716+AJ716+AM716+AP716+AS716+AV716+AY716+BB716+BE716+BH716</f>
        <v>0</v>
      </c>
      <c r="P716" s="61">
        <f t="shared" si="3668"/>
        <v>0</v>
      </c>
      <c r="Q716" s="61">
        <f t="shared" si="3668"/>
        <v>0</v>
      </c>
      <c r="R716" s="61">
        <f t="shared" ref="R716:T716" si="3669">IF(BK716=0,SUM(AA716+AD716+AG716+AJ716+AM716+AP716+AS716+AV716+AY716+BB716+BE716+BH716),BK716)</f>
        <v>0</v>
      </c>
      <c r="S716" s="61">
        <f t="shared" si="3669"/>
        <v>0</v>
      </c>
      <c r="T716" s="61">
        <f t="shared" si="3669"/>
        <v>0</v>
      </c>
      <c r="U716" s="63">
        <f t="shared" si="3648"/>
        <v>0</v>
      </c>
      <c r="V716" s="63">
        <f t="shared" si="3649"/>
        <v>0</v>
      </c>
      <c r="W716" s="63">
        <f t="shared" si="3650"/>
        <v>0</v>
      </c>
      <c r="X716" s="64">
        <f t="shared" ref="X716:Y716" si="3670">IF(O716&gt;0,O716/K716,0)</f>
        <v>0</v>
      </c>
      <c r="Y716" s="64">
        <f t="shared" si="3670"/>
        <v>0</v>
      </c>
      <c r="Z716" s="64">
        <f t="shared" si="3511"/>
        <v>0</v>
      </c>
      <c r="AA716" s="65"/>
      <c r="AB716" s="65"/>
      <c r="AC716" s="65"/>
      <c r="AD716" s="65"/>
      <c r="AE716" s="66"/>
      <c r="AF716" s="66"/>
      <c r="AG716" s="66"/>
      <c r="AH716" s="66"/>
      <c r="AI716" s="65"/>
      <c r="AJ716" s="65"/>
      <c r="AK716" s="65"/>
      <c r="AL716" s="65"/>
      <c r="AM716" s="65"/>
      <c r="AN716" s="65"/>
      <c r="AO716" s="65"/>
      <c r="AP716" s="65"/>
      <c r="AQ716" s="65"/>
      <c r="AR716" s="65"/>
      <c r="AS716" s="65"/>
      <c r="AT716" s="65"/>
      <c r="AU716" s="65"/>
      <c r="AV716" s="65"/>
      <c r="AW716" s="65"/>
      <c r="AX716" s="65"/>
      <c r="AY716" s="65"/>
      <c r="AZ716" s="65"/>
      <c r="BA716" s="65"/>
      <c r="BB716" s="65"/>
      <c r="BC716" s="65"/>
      <c r="BD716" s="65"/>
      <c r="BE716" s="65"/>
      <c r="BF716" s="65"/>
      <c r="BG716" s="65"/>
      <c r="BH716" s="65"/>
      <c r="BI716" s="65"/>
      <c r="BJ716" s="65"/>
      <c r="BK716" s="65">
        <v>0</v>
      </c>
      <c r="BL716" s="65">
        <v>0</v>
      </c>
      <c r="BM716" s="65">
        <v>0</v>
      </c>
      <c r="BN716" s="65">
        <f t="shared" si="3652"/>
        <v>0</v>
      </c>
      <c r="BO716" s="67">
        <f t="shared" si="3653"/>
        <v>0</v>
      </c>
      <c r="BP716" s="65">
        <f t="shared" si="3654"/>
        <v>0</v>
      </c>
      <c r="BQ716" s="65">
        <f t="shared" si="3655"/>
        <v>0</v>
      </c>
      <c r="BR716" s="65">
        <f t="shared" si="3656"/>
        <v>0</v>
      </c>
      <c r="BS716" s="65">
        <f t="shared" si="3657"/>
        <v>0</v>
      </c>
      <c r="BT716" s="65">
        <f t="shared" si="3658"/>
        <v>0</v>
      </c>
      <c r="BU716" s="65">
        <f t="shared" si="3659"/>
        <v>0</v>
      </c>
      <c r="BV716" s="65">
        <f t="shared" si="3660"/>
        <v>0</v>
      </c>
      <c r="BW716" s="65">
        <f t="shared" si="3661"/>
        <v>0</v>
      </c>
      <c r="BX716" s="6"/>
      <c r="BY716" s="6"/>
      <c r="BZ716" s="6"/>
      <c r="CA716" s="6"/>
      <c r="CB716" s="6"/>
      <c r="CC716" s="6"/>
      <c r="CD716" s="6"/>
      <c r="CE716" s="6"/>
      <c r="CF716" s="6"/>
      <c r="CG716" s="6"/>
    </row>
    <row r="717" spans="1:85" ht="15.75" customHeight="1">
      <c r="A717" s="71"/>
      <c r="B717" s="103"/>
      <c r="C717" s="68" t="s">
        <v>873</v>
      </c>
      <c r="D717" s="124" t="s">
        <v>874</v>
      </c>
      <c r="E717" s="99">
        <v>0</v>
      </c>
      <c r="F717" s="99">
        <v>0</v>
      </c>
      <c r="G717" s="58">
        <f t="shared" si="3645"/>
        <v>0</v>
      </c>
      <c r="H717" s="56">
        <v>20000</v>
      </c>
      <c r="I717" s="59">
        <f t="shared" si="3007"/>
        <v>0</v>
      </c>
      <c r="J717" s="59">
        <f t="shared" si="2705"/>
        <v>0</v>
      </c>
      <c r="K717" s="74">
        <v>0</v>
      </c>
      <c r="L717" s="74">
        <v>0</v>
      </c>
      <c r="M717" s="74">
        <v>0</v>
      </c>
      <c r="N717" s="74">
        <v>0</v>
      </c>
      <c r="O717" s="61">
        <f t="shared" ref="O717:Q717" si="3671">AA717+AD717+AG717+AJ717+AM717+AP717+AS717+AV717+AY717+BB717+BE717+BH717</f>
        <v>0</v>
      </c>
      <c r="P717" s="61">
        <f t="shared" si="3671"/>
        <v>0</v>
      </c>
      <c r="Q717" s="61">
        <f t="shared" si="3671"/>
        <v>0</v>
      </c>
      <c r="R717" s="61">
        <f t="shared" ref="R717:T717" si="3672">IF(BK717=0,SUM(AA717+AD717+AG717+AJ717+AM717+AP717+AS717+AV717+AY717+BB717+BE717+BH717),BK717)</f>
        <v>0</v>
      </c>
      <c r="S717" s="61">
        <f t="shared" si="3672"/>
        <v>0</v>
      </c>
      <c r="T717" s="61">
        <f t="shared" si="3672"/>
        <v>0</v>
      </c>
      <c r="U717" s="63">
        <f t="shared" si="3648"/>
        <v>0</v>
      </c>
      <c r="V717" s="63">
        <f t="shared" si="3649"/>
        <v>0</v>
      </c>
      <c r="W717" s="63">
        <f t="shared" si="3650"/>
        <v>0</v>
      </c>
      <c r="X717" s="64">
        <f t="shared" ref="X717:Y717" si="3673">IF(O717&gt;0,O717/K717,0)</f>
        <v>0</v>
      </c>
      <c r="Y717" s="64">
        <f t="shared" si="3673"/>
        <v>0</v>
      </c>
      <c r="Z717" s="64">
        <f t="shared" si="3511"/>
        <v>0</v>
      </c>
      <c r="AA717" s="65"/>
      <c r="AB717" s="65"/>
      <c r="AC717" s="65"/>
      <c r="AD717" s="65"/>
      <c r="AE717" s="66"/>
      <c r="AF717" s="66"/>
      <c r="AG717" s="66"/>
      <c r="AH717" s="66"/>
      <c r="AI717" s="65"/>
      <c r="AJ717" s="65"/>
      <c r="AK717" s="65"/>
      <c r="AL717" s="65"/>
      <c r="AM717" s="65"/>
      <c r="AN717" s="65"/>
      <c r="AO717" s="65"/>
      <c r="AP717" s="65"/>
      <c r="AQ717" s="65"/>
      <c r="AR717" s="65"/>
      <c r="AS717" s="65"/>
      <c r="AT717" s="65"/>
      <c r="AU717" s="65"/>
      <c r="AV717" s="65"/>
      <c r="AW717" s="65"/>
      <c r="AX717" s="65"/>
      <c r="AY717" s="65"/>
      <c r="AZ717" s="65"/>
      <c r="BA717" s="65"/>
      <c r="BB717" s="65"/>
      <c r="BC717" s="65"/>
      <c r="BD717" s="65"/>
      <c r="BE717" s="65"/>
      <c r="BF717" s="65"/>
      <c r="BG717" s="65"/>
      <c r="BH717" s="65"/>
      <c r="BI717" s="65"/>
      <c r="BJ717" s="65"/>
      <c r="BK717" s="65">
        <v>0</v>
      </c>
      <c r="BL717" s="65">
        <v>0</v>
      </c>
      <c r="BM717" s="65">
        <v>0</v>
      </c>
      <c r="BN717" s="65">
        <f t="shared" si="3652"/>
        <v>0</v>
      </c>
      <c r="BO717" s="67">
        <f t="shared" si="3653"/>
        <v>0</v>
      </c>
      <c r="BP717" s="65">
        <f t="shared" si="3654"/>
        <v>0</v>
      </c>
      <c r="BQ717" s="65">
        <f t="shared" si="3655"/>
        <v>0</v>
      </c>
      <c r="BR717" s="65">
        <f t="shared" si="3656"/>
        <v>0</v>
      </c>
      <c r="BS717" s="65">
        <f t="shared" si="3657"/>
        <v>0</v>
      </c>
      <c r="BT717" s="65">
        <f t="shared" si="3658"/>
        <v>0</v>
      </c>
      <c r="BU717" s="65">
        <f t="shared" si="3659"/>
        <v>0</v>
      </c>
      <c r="BV717" s="65">
        <f t="shared" si="3660"/>
        <v>0</v>
      </c>
      <c r="BW717" s="65">
        <f t="shared" si="3661"/>
        <v>0</v>
      </c>
      <c r="BX717" s="6"/>
      <c r="BY717" s="6"/>
      <c r="BZ717" s="6"/>
      <c r="CA717" s="6"/>
      <c r="CB717" s="6"/>
      <c r="CC717" s="6"/>
      <c r="CD717" s="6"/>
      <c r="CE717" s="6"/>
      <c r="CF717" s="6"/>
      <c r="CG717" s="6"/>
    </row>
    <row r="718" spans="1:85" ht="15.75">
      <c r="A718" s="75"/>
      <c r="B718" s="76"/>
      <c r="C718" s="77"/>
      <c r="D718" s="78" t="s">
        <v>137</v>
      </c>
      <c r="E718" s="45">
        <f t="shared" ref="E718:H718" si="3674">SUM(E719)</f>
        <v>0</v>
      </c>
      <c r="F718" s="45">
        <f t="shared" si="3674"/>
        <v>0</v>
      </c>
      <c r="G718" s="45">
        <f t="shared" si="3674"/>
        <v>0</v>
      </c>
      <c r="H718" s="45">
        <f t="shared" si="3674"/>
        <v>0</v>
      </c>
      <c r="I718" s="47">
        <f t="shared" si="3007"/>
        <v>0</v>
      </c>
      <c r="J718" s="47">
        <f t="shared" si="2705"/>
        <v>0</v>
      </c>
      <c r="K718" s="45">
        <f t="shared" ref="K718:W718" si="3675">SUM(K719)</f>
        <v>0</v>
      </c>
      <c r="L718" s="45">
        <f t="shared" si="3675"/>
        <v>0</v>
      </c>
      <c r="M718" s="45">
        <f t="shared" si="3675"/>
        <v>0</v>
      </c>
      <c r="N718" s="45">
        <f t="shared" si="3675"/>
        <v>0</v>
      </c>
      <c r="O718" s="45">
        <f t="shared" si="3675"/>
        <v>0</v>
      </c>
      <c r="P718" s="45">
        <f t="shared" si="3675"/>
        <v>0</v>
      </c>
      <c r="Q718" s="45">
        <f t="shared" si="3675"/>
        <v>0</v>
      </c>
      <c r="R718" s="45">
        <f t="shared" si="3675"/>
        <v>0</v>
      </c>
      <c r="S718" s="45">
        <f t="shared" si="3675"/>
        <v>0</v>
      </c>
      <c r="T718" s="45">
        <f t="shared" si="3675"/>
        <v>0</v>
      </c>
      <c r="U718" s="45">
        <f t="shared" si="3675"/>
        <v>0</v>
      </c>
      <c r="V718" s="45">
        <f t="shared" si="3675"/>
        <v>0</v>
      </c>
      <c r="W718" s="45">
        <f t="shared" si="3675"/>
        <v>0</v>
      </c>
      <c r="X718" s="50">
        <f t="shared" ref="X718:Y718" si="3676">IF(O718&gt;0,O718/K718,0)</f>
        <v>0</v>
      </c>
      <c r="Y718" s="50">
        <f t="shared" si="3676"/>
        <v>0</v>
      </c>
      <c r="Z718" s="50">
        <f t="shared" si="3511"/>
        <v>0</v>
      </c>
      <c r="AA718" s="45">
        <f t="shared" ref="AA718:BW718" si="3677">SUM(AA719)</f>
        <v>0</v>
      </c>
      <c r="AB718" s="45">
        <f t="shared" si="3677"/>
        <v>0</v>
      </c>
      <c r="AC718" s="45">
        <f t="shared" si="3677"/>
        <v>0</v>
      </c>
      <c r="AD718" s="45">
        <f t="shared" si="3677"/>
        <v>0</v>
      </c>
      <c r="AE718" s="45">
        <f t="shared" si="3677"/>
        <v>0</v>
      </c>
      <c r="AF718" s="45">
        <f t="shared" si="3677"/>
        <v>0</v>
      </c>
      <c r="AG718" s="45">
        <f t="shared" si="3677"/>
        <v>0</v>
      </c>
      <c r="AH718" s="45">
        <f t="shared" si="3677"/>
        <v>0</v>
      </c>
      <c r="AI718" s="45">
        <f t="shared" si="3677"/>
        <v>0</v>
      </c>
      <c r="AJ718" s="45">
        <f t="shared" si="3677"/>
        <v>0</v>
      </c>
      <c r="AK718" s="45">
        <f t="shared" si="3677"/>
        <v>0</v>
      </c>
      <c r="AL718" s="45">
        <f t="shared" si="3677"/>
        <v>0</v>
      </c>
      <c r="AM718" s="45">
        <f t="shared" si="3677"/>
        <v>0</v>
      </c>
      <c r="AN718" s="45">
        <f t="shared" si="3677"/>
        <v>0</v>
      </c>
      <c r="AO718" s="45">
        <f t="shared" si="3677"/>
        <v>0</v>
      </c>
      <c r="AP718" s="45">
        <f t="shared" si="3677"/>
        <v>0</v>
      </c>
      <c r="AQ718" s="45">
        <f t="shared" si="3677"/>
        <v>0</v>
      </c>
      <c r="AR718" s="45">
        <f t="shared" si="3677"/>
        <v>0</v>
      </c>
      <c r="AS718" s="45">
        <f t="shared" si="3677"/>
        <v>0</v>
      </c>
      <c r="AT718" s="45">
        <f t="shared" si="3677"/>
        <v>0</v>
      </c>
      <c r="AU718" s="45">
        <f t="shared" si="3677"/>
        <v>0</v>
      </c>
      <c r="AV718" s="45">
        <f t="shared" si="3677"/>
        <v>0</v>
      </c>
      <c r="AW718" s="45">
        <f t="shared" si="3677"/>
        <v>0</v>
      </c>
      <c r="AX718" s="45">
        <f t="shared" si="3677"/>
        <v>0</v>
      </c>
      <c r="AY718" s="45">
        <f t="shared" si="3677"/>
        <v>0</v>
      </c>
      <c r="AZ718" s="45">
        <f t="shared" si="3677"/>
        <v>0</v>
      </c>
      <c r="BA718" s="45">
        <f t="shared" si="3677"/>
        <v>0</v>
      </c>
      <c r="BB718" s="45">
        <f t="shared" si="3677"/>
        <v>0</v>
      </c>
      <c r="BC718" s="45">
        <f t="shared" si="3677"/>
        <v>0</v>
      </c>
      <c r="BD718" s="45">
        <f t="shared" si="3677"/>
        <v>0</v>
      </c>
      <c r="BE718" s="45">
        <f t="shared" si="3677"/>
        <v>0</v>
      </c>
      <c r="BF718" s="45">
        <f t="shared" si="3677"/>
        <v>0</v>
      </c>
      <c r="BG718" s="45">
        <f t="shared" si="3677"/>
        <v>0</v>
      </c>
      <c r="BH718" s="45">
        <f t="shared" si="3677"/>
        <v>0</v>
      </c>
      <c r="BI718" s="45">
        <f t="shared" si="3677"/>
        <v>0</v>
      </c>
      <c r="BJ718" s="45">
        <f t="shared" si="3677"/>
        <v>0</v>
      </c>
      <c r="BK718" s="45">
        <f t="shared" si="3677"/>
        <v>0</v>
      </c>
      <c r="BL718" s="45">
        <f t="shared" si="3677"/>
        <v>0</v>
      </c>
      <c r="BM718" s="45">
        <f t="shared" si="3677"/>
        <v>0</v>
      </c>
      <c r="BN718" s="45">
        <f t="shared" si="3677"/>
        <v>0</v>
      </c>
      <c r="BO718" s="45">
        <f t="shared" si="3677"/>
        <v>0</v>
      </c>
      <c r="BP718" s="45">
        <f t="shared" si="3677"/>
        <v>0</v>
      </c>
      <c r="BQ718" s="45">
        <f t="shared" si="3677"/>
        <v>0</v>
      </c>
      <c r="BR718" s="45">
        <f t="shared" si="3677"/>
        <v>0</v>
      </c>
      <c r="BS718" s="45">
        <f t="shared" si="3677"/>
        <v>0</v>
      </c>
      <c r="BT718" s="45">
        <f t="shared" si="3677"/>
        <v>0</v>
      </c>
      <c r="BU718" s="45">
        <f t="shared" si="3677"/>
        <v>0</v>
      </c>
      <c r="BV718" s="45">
        <f t="shared" si="3677"/>
        <v>0</v>
      </c>
      <c r="BW718" s="45">
        <f t="shared" si="3677"/>
        <v>0</v>
      </c>
      <c r="BX718" s="51"/>
      <c r="BY718" s="51"/>
      <c r="BZ718" s="51"/>
      <c r="CA718" s="51"/>
      <c r="CB718" s="51"/>
      <c r="CC718" s="51"/>
      <c r="CD718" s="51"/>
      <c r="CE718" s="51"/>
      <c r="CF718" s="51"/>
      <c r="CG718" s="51"/>
    </row>
    <row r="719" spans="1:85" ht="15.75" customHeight="1">
      <c r="A719" s="121"/>
      <c r="B719" s="169"/>
      <c r="C719" s="68" t="s">
        <v>138</v>
      </c>
      <c r="D719" s="122" t="s">
        <v>875</v>
      </c>
      <c r="E719" s="99">
        <v>0</v>
      </c>
      <c r="F719" s="99">
        <v>0</v>
      </c>
      <c r="G719" s="58">
        <f>E719-F719</f>
        <v>0</v>
      </c>
      <c r="H719" s="57">
        <v>0</v>
      </c>
      <c r="I719" s="59">
        <f t="shared" si="3007"/>
        <v>0</v>
      </c>
      <c r="J719" s="59">
        <f t="shared" si="2705"/>
        <v>0</v>
      </c>
      <c r="K719" s="74">
        <v>0</v>
      </c>
      <c r="L719" s="74">
        <v>0</v>
      </c>
      <c r="M719" s="74">
        <v>0</v>
      </c>
      <c r="N719" s="74">
        <v>0</v>
      </c>
      <c r="O719" s="61">
        <f t="shared" ref="O719:Q719" si="3678">AA719+AD719+AG719+AJ719+AM719+AP719+AS719+AV719+AY719+BB719+BE719+BH719</f>
        <v>0</v>
      </c>
      <c r="P719" s="61">
        <f t="shared" si="3678"/>
        <v>0</v>
      </c>
      <c r="Q719" s="61">
        <f t="shared" si="3678"/>
        <v>0</v>
      </c>
      <c r="R719" s="61">
        <f t="shared" ref="R719:T719" si="3679">IF(BK719=0,SUM(AA719+AD719+AG719+AJ719+AM719+AP719+AS719+AV719+AY719+BB719+BE719+BH719),BK719)</f>
        <v>0</v>
      </c>
      <c r="S719" s="61">
        <f t="shared" si="3679"/>
        <v>0</v>
      </c>
      <c r="T719" s="61">
        <f t="shared" si="3679"/>
        <v>0</v>
      </c>
      <c r="U719" s="63">
        <f>K719-O719</f>
        <v>0</v>
      </c>
      <c r="V719" s="63">
        <f>L719-M719-S719</f>
        <v>0</v>
      </c>
      <c r="W719" s="63">
        <f>N719-Q719</f>
        <v>0</v>
      </c>
      <c r="X719" s="64">
        <f t="shared" ref="X719:Y719" si="3680">IF(O719&gt;0,O719/K719,0)</f>
        <v>0</v>
      </c>
      <c r="Y719" s="64">
        <f t="shared" si="3680"/>
        <v>0</v>
      </c>
      <c r="Z719" s="64">
        <f t="shared" si="3511"/>
        <v>0</v>
      </c>
      <c r="AA719" s="65"/>
      <c r="AB719" s="65"/>
      <c r="AC719" s="65"/>
      <c r="AD719" s="65"/>
      <c r="AE719" s="66"/>
      <c r="AF719" s="66"/>
      <c r="AG719" s="66"/>
      <c r="AH719" s="66"/>
      <c r="AI719" s="65"/>
      <c r="AJ719" s="65"/>
      <c r="AK719" s="65"/>
      <c r="AL719" s="65"/>
      <c r="AM719" s="65"/>
      <c r="AN719" s="65"/>
      <c r="AO719" s="65"/>
      <c r="AP719" s="65"/>
      <c r="AQ719" s="65"/>
      <c r="AR719" s="65"/>
      <c r="AS719" s="65"/>
      <c r="AT719" s="65"/>
      <c r="AU719" s="65"/>
      <c r="AV719" s="65"/>
      <c r="AW719" s="65"/>
      <c r="AX719" s="65"/>
      <c r="AY719" s="65"/>
      <c r="AZ719" s="65"/>
      <c r="BA719" s="65"/>
      <c r="BB719" s="65"/>
      <c r="BC719" s="65"/>
      <c r="BD719" s="65"/>
      <c r="BE719" s="65"/>
      <c r="BF719" s="65"/>
      <c r="BG719" s="65"/>
      <c r="BH719" s="65"/>
      <c r="BI719" s="65"/>
      <c r="BJ719" s="65"/>
      <c r="BK719" s="65">
        <v>0</v>
      </c>
      <c r="BL719" s="65">
        <v>0</v>
      </c>
      <c r="BM719" s="65">
        <v>0</v>
      </c>
      <c r="BN719" s="65">
        <f>IF(O719-BK719&gt;0,O719-BK719,0)</f>
        <v>0</v>
      </c>
      <c r="BO719" s="67">
        <f>IF(Q719-BM719&gt;0,Q719-BM719,0)</f>
        <v>0</v>
      </c>
      <c r="BP719" s="65">
        <f>IF(BN719+BO719&gt;0,BN719+BO719,0)</f>
        <v>0</v>
      </c>
      <c r="BQ719" s="65">
        <f>IF(U719=0,0,U719)</f>
        <v>0</v>
      </c>
      <c r="BR719" s="65">
        <f>IF(W719=0,0,W719)</f>
        <v>0</v>
      </c>
      <c r="BS719" s="65">
        <f>IF(BQ719+BR719&gt;0,BQ719+BR719,0)</f>
        <v>0</v>
      </c>
      <c r="BT719" s="65">
        <f>IF(V719&gt;0,V719,0)</f>
        <v>0</v>
      </c>
      <c r="BU719" s="65">
        <f>IF(BP719=0,0,BP719)</f>
        <v>0</v>
      </c>
      <c r="BV719" s="65">
        <f>IF(BS719=0,0,BS719)</f>
        <v>0</v>
      </c>
      <c r="BW719" s="65">
        <f>IF(BP719+BT719+BV719&gt;0,BP719+BT719+BV719,0)</f>
        <v>0</v>
      </c>
      <c r="BX719" s="6"/>
      <c r="BY719" s="6"/>
      <c r="BZ719" s="6"/>
      <c r="CA719" s="6"/>
      <c r="CB719" s="6"/>
      <c r="CC719" s="6"/>
      <c r="CD719" s="6"/>
      <c r="CE719" s="6"/>
      <c r="CF719" s="6"/>
      <c r="CG719" s="6"/>
    </row>
    <row r="720" spans="1:85" ht="15.75">
      <c r="A720" s="75"/>
      <c r="B720" s="76"/>
      <c r="C720" s="77"/>
      <c r="D720" s="280" t="s">
        <v>168</v>
      </c>
      <c r="E720" s="45">
        <f t="shared" ref="E720:H720" si="3681">SUM(E721)</f>
        <v>0</v>
      </c>
      <c r="F720" s="45">
        <f t="shared" si="3681"/>
        <v>0</v>
      </c>
      <c r="G720" s="45">
        <f t="shared" si="3681"/>
        <v>0</v>
      </c>
      <c r="H720" s="45">
        <f t="shared" si="3681"/>
        <v>127500</v>
      </c>
      <c r="I720" s="47">
        <f t="shared" si="3007"/>
        <v>0</v>
      </c>
      <c r="J720" s="47">
        <f t="shared" si="2705"/>
        <v>0</v>
      </c>
      <c r="K720" s="45">
        <f t="shared" ref="K720:W720" si="3682">SUM(K721)</f>
        <v>0</v>
      </c>
      <c r="L720" s="45">
        <f t="shared" si="3682"/>
        <v>0</v>
      </c>
      <c r="M720" s="45">
        <f t="shared" si="3682"/>
        <v>0</v>
      </c>
      <c r="N720" s="45">
        <f t="shared" si="3682"/>
        <v>0</v>
      </c>
      <c r="O720" s="45">
        <f t="shared" si="3682"/>
        <v>0</v>
      </c>
      <c r="P720" s="45">
        <f t="shared" si="3682"/>
        <v>0</v>
      </c>
      <c r="Q720" s="45">
        <f t="shared" si="3682"/>
        <v>0</v>
      </c>
      <c r="R720" s="45">
        <f t="shared" si="3682"/>
        <v>0</v>
      </c>
      <c r="S720" s="45">
        <f t="shared" si="3682"/>
        <v>0</v>
      </c>
      <c r="T720" s="45">
        <f t="shared" si="3682"/>
        <v>0</v>
      </c>
      <c r="U720" s="45">
        <f t="shared" si="3682"/>
        <v>0</v>
      </c>
      <c r="V720" s="45">
        <f t="shared" si="3682"/>
        <v>0</v>
      </c>
      <c r="W720" s="45">
        <f t="shared" si="3682"/>
        <v>0</v>
      </c>
      <c r="X720" s="50">
        <f t="shared" ref="X720:Y720" si="3683">IF(O720&gt;0,O720/K720,0)</f>
        <v>0</v>
      </c>
      <c r="Y720" s="50">
        <f t="shared" si="3683"/>
        <v>0</v>
      </c>
      <c r="Z720" s="50">
        <f t="shared" si="3511"/>
        <v>0</v>
      </c>
      <c r="AA720" s="45">
        <f t="shared" ref="AA720:BW720" si="3684">SUM(AA721)</f>
        <v>0</v>
      </c>
      <c r="AB720" s="45">
        <f t="shared" si="3684"/>
        <v>0</v>
      </c>
      <c r="AC720" s="45">
        <f t="shared" si="3684"/>
        <v>0</v>
      </c>
      <c r="AD720" s="45">
        <f t="shared" si="3684"/>
        <v>0</v>
      </c>
      <c r="AE720" s="45">
        <f t="shared" si="3684"/>
        <v>0</v>
      </c>
      <c r="AF720" s="45">
        <f t="shared" si="3684"/>
        <v>0</v>
      </c>
      <c r="AG720" s="45">
        <f t="shared" si="3684"/>
        <v>0</v>
      </c>
      <c r="AH720" s="45">
        <f t="shared" si="3684"/>
        <v>0</v>
      </c>
      <c r="AI720" s="45">
        <f t="shared" si="3684"/>
        <v>0</v>
      </c>
      <c r="AJ720" s="45">
        <f t="shared" si="3684"/>
        <v>0</v>
      </c>
      <c r="AK720" s="45">
        <f t="shared" si="3684"/>
        <v>0</v>
      </c>
      <c r="AL720" s="45">
        <f t="shared" si="3684"/>
        <v>0</v>
      </c>
      <c r="AM720" s="45">
        <f t="shared" si="3684"/>
        <v>0</v>
      </c>
      <c r="AN720" s="45">
        <f t="shared" si="3684"/>
        <v>0</v>
      </c>
      <c r="AO720" s="45">
        <f t="shared" si="3684"/>
        <v>0</v>
      </c>
      <c r="AP720" s="45">
        <f t="shared" si="3684"/>
        <v>0</v>
      </c>
      <c r="AQ720" s="45">
        <f t="shared" si="3684"/>
        <v>0</v>
      </c>
      <c r="AR720" s="45">
        <f t="shared" si="3684"/>
        <v>0</v>
      </c>
      <c r="AS720" s="45">
        <f t="shared" si="3684"/>
        <v>0</v>
      </c>
      <c r="AT720" s="45">
        <f t="shared" si="3684"/>
        <v>0</v>
      </c>
      <c r="AU720" s="45">
        <f t="shared" si="3684"/>
        <v>0</v>
      </c>
      <c r="AV720" s="45">
        <f t="shared" si="3684"/>
        <v>0</v>
      </c>
      <c r="AW720" s="45">
        <f t="shared" si="3684"/>
        <v>0</v>
      </c>
      <c r="AX720" s="45">
        <f t="shared" si="3684"/>
        <v>0</v>
      </c>
      <c r="AY720" s="45">
        <f t="shared" si="3684"/>
        <v>0</v>
      </c>
      <c r="AZ720" s="45">
        <f t="shared" si="3684"/>
        <v>0</v>
      </c>
      <c r="BA720" s="45">
        <f t="shared" si="3684"/>
        <v>0</v>
      </c>
      <c r="BB720" s="45">
        <f t="shared" si="3684"/>
        <v>0</v>
      </c>
      <c r="BC720" s="45">
        <f t="shared" si="3684"/>
        <v>0</v>
      </c>
      <c r="BD720" s="45">
        <f t="shared" si="3684"/>
        <v>0</v>
      </c>
      <c r="BE720" s="45">
        <f t="shared" si="3684"/>
        <v>0</v>
      </c>
      <c r="BF720" s="45">
        <f t="shared" si="3684"/>
        <v>0</v>
      </c>
      <c r="BG720" s="45">
        <f t="shared" si="3684"/>
        <v>0</v>
      </c>
      <c r="BH720" s="45">
        <f t="shared" si="3684"/>
        <v>0</v>
      </c>
      <c r="BI720" s="45">
        <f t="shared" si="3684"/>
        <v>0</v>
      </c>
      <c r="BJ720" s="45">
        <f t="shared" si="3684"/>
        <v>0</v>
      </c>
      <c r="BK720" s="45">
        <f t="shared" si="3684"/>
        <v>0</v>
      </c>
      <c r="BL720" s="45">
        <f t="shared" si="3684"/>
        <v>0</v>
      </c>
      <c r="BM720" s="45">
        <f t="shared" si="3684"/>
        <v>0</v>
      </c>
      <c r="BN720" s="45">
        <f t="shared" si="3684"/>
        <v>0</v>
      </c>
      <c r="BO720" s="45">
        <f t="shared" si="3684"/>
        <v>0</v>
      </c>
      <c r="BP720" s="45">
        <f t="shared" si="3684"/>
        <v>0</v>
      </c>
      <c r="BQ720" s="45">
        <f t="shared" si="3684"/>
        <v>0</v>
      </c>
      <c r="BR720" s="45">
        <f t="shared" si="3684"/>
        <v>0</v>
      </c>
      <c r="BS720" s="45">
        <f t="shared" si="3684"/>
        <v>0</v>
      </c>
      <c r="BT720" s="45">
        <f t="shared" si="3684"/>
        <v>0</v>
      </c>
      <c r="BU720" s="45">
        <f t="shared" si="3684"/>
        <v>0</v>
      </c>
      <c r="BV720" s="45">
        <f t="shared" si="3684"/>
        <v>0</v>
      </c>
      <c r="BW720" s="45">
        <f t="shared" si="3684"/>
        <v>0</v>
      </c>
      <c r="BX720" s="51"/>
      <c r="BY720" s="51"/>
      <c r="BZ720" s="51"/>
      <c r="CA720" s="51"/>
      <c r="CB720" s="51"/>
      <c r="CC720" s="51"/>
      <c r="CD720" s="51"/>
      <c r="CE720" s="51"/>
      <c r="CF720" s="51"/>
      <c r="CG720" s="51"/>
    </row>
    <row r="721" spans="1:85" ht="15.75" customHeight="1">
      <c r="A721" s="121"/>
      <c r="B721" s="169"/>
      <c r="C721" s="68" t="s">
        <v>198</v>
      </c>
      <c r="D721" s="171" t="s">
        <v>199</v>
      </c>
      <c r="E721" s="99">
        <v>0</v>
      </c>
      <c r="F721" s="99">
        <v>0</v>
      </c>
      <c r="G721" s="58">
        <f>E721-F721</f>
        <v>0</v>
      </c>
      <c r="H721" s="56">
        <v>127500</v>
      </c>
      <c r="I721" s="59">
        <f t="shared" si="3007"/>
        <v>0</v>
      </c>
      <c r="J721" s="59">
        <f t="shared" si="2705"/>
        <v>0</v>
      </c>
      <c r="K721" s="74">
        <v>0</v>
      </c>
      <c r="L721" s="74">
        <v>0</v>
      </c>
      <c r="M721" s="74">
        <v>0</v>
      </c>
      <c r="N721" s="74">
        <v>0</v>
      </c>
      <c r="O721" s="61">
        <f t="shared" ref="O721:Q721" si="3685">AA721+AD721+AG721+AJ721+AM721+AP721+AS721+AV721+AY721+BB721+BE721+BH721</f>
        <v>0</v>
      </c>
      <c r="P721" s="61">
        <f t="shared" si="3685"/>
        <v>0</v>
      </c>
      <c r="Q721" s="61">
        <f t="shared" si="3685"/>
        <v>0</v>
      </c>
      <c r="R721" s="61">
        <f t="shared" ref="R721:T721" si="3686">IF(BK721=0,SUM(AA721+AD721+AG721+AJ721+AM721+AP721+AS721+AV721+AY721+BB721+BE721+BH721),BK721)</f>
        <v>0</v>
      </c>
      <c r="S721" s="61">
        <f t="shared" si="3686"/>
        <v>0</v>
      </c>
      <c r="T721" s="61">
        <f t="shared" si="3686"/>
        <v>0</v>
      </c>
      <c r="U721" s="63">
        <f>K721-O721</f>
        <v>0</v>
      </c>
      <c r="V721" s="63">
        <f>L721-M721-S721</f>
        <v>0</v>
      </c>
      <c r="W721" s="63">
        <f>N721-Q721</f>
        <v>0</v>
      </c>
      <c r="X721" s="64">
        <f t="shared" ref="X721:Y721" si="3687">IF(O721&gt;0,O721/K721,0)</f>
        <v>0</v>
      </c>
      <c r="Y721" s="64">
        <f t="shared" si="3687"/>
        <v>0</v>
      </c>
      <c r="Z721" s="64">
        <f t="shared" si="3511"/>
        <v>0</v>
      </c>
      <c r="AA721" s="65"/>
      <c r="AB721" s="65"/>
      <c r="AC721" s="65"/>
      <c r="AD721" s="65"/>
      <c r="AE721" s="66"/>
      <c r="AF721" s="66"/>
      <c r="AG721" s="66"/>
      <c r="AH721" s="66"/>
      <c r="AI721" s="65"/>
      <c r="AJ721" s="65"/>
      <c r="AK721" s="65"/>
      <c r="AL721" s="65"/>
      <c r="AM721" s="65"/>
      <c r="AN721" s="65"/>
      <c r="AO721" s="65"/>
      <c r="AP721" s="65"/>
      <c r="AQ721" s="65"/>
      <c r="AR721" s="65"/>
      <c r="AS721" s="65"/>
      <c r="AT721" s="65"/>
      <c r="AU721" s="65"/>
      <c r="AV721" s="65"/>
      <c r="AW721" s="65"/>
      <c r="AX721" s="65"/>
      <c r="AY721" s="65"/>
      <c r="AZ721" s="65"/>
      <c r="BA721" s="65"/>
      <c r="BB721" s="65"/>
      <c r="BC721" s="65"/>
      <c r="BD721" s="65"/>
      <c r="BE721" s="65"/>
      <c r="BF721" s="65"/>
      <c r="BG721" s="65"/>
      <c r="BH721" s="65"/>
      <c r="BI721" s="65"/>
      <c r="BJ721" s="65"/>
      <c r="BK721" s="65">
        <v>0</v>
      </c>
      <c r="BL721" s="65">
        <v>0</v>
      </c>
      <c r="BM721" s="65">
        <v>0</v>
      </c>
      <c r="BN721" s="65">
        <f>IF(O721-BK721&gt;0,O721-BK721,0)</f>
        <v>0</v>
      </c>
      <c r="BO721" s="67">
        <f>IF(Q721-BM721&gt;0,Q721-BM721,0)</f>
        <v>0</v>
      </c>
      <c r="BP721" s="65">
        <f>IF(BN721+BO721&gt;0,BN721+BO721,0)</f>
        <v>0</v>
      </c>
      <c r="BQ721" s="65">
        <f>IF(U721=0,0,U721)</f>
        <v>0</v>
      </c>
      <c r="BR721" s="65">
        <f>IF(W721=0,0,W721)</f>
        <v>0</v>
      </c>
      <c r="BS721" s="65">
        <f>IF(BQ721+BR721&gt;0,BQ721+BR721,0)</f>
        <v>0</v>
      </c>
      <c r="BT721" s="65">
        <f>IF(V721&gt;0,V721,0)</f>
        <v>0</v>
      </c>
      <c r="BU721" s="65">
        <f>IF(BP721=0,0,BP721)</f>
        <v>0</v>
      </c>
      <c r="BV721" s="65">
        <f>IF(BS721=0,0,BS721)</f>
        <v>0</v>
      </c>
      <c r="BW721" s="65">
        <f>IF(BP721+BT721+BV721&gt;0,BP721+BT721+BV721,0)</f>
        <v>0</v>
      </c>
      <c r="BX721" s="6"/>
      <c r="BY721" s="6"/>
      <c r="BZ721" s="6"/>
      <c r="CA721" s="6"/>
      <c r="CB721" s="6"/>
      <c r="CC721" s="6"/>
      <c r="CD721" s="6"/>
      <c r="CE721" s="6"/>
      <c r="CF721" s="6"/>
      <c r="CG721" s="6"/>
    </row>
    <row r="722" spans="1:85" ht="15.75">
      <c r="A722" s="75"/>
      <c r="B722" s="76"/>
      <c r="C722" s="77"/>
      <c r="D722" s="78" t="s">
        <v>876</v>
      </c>
      <c r="E722" s="45">
        <f t="shared" ref="E722:H722" si="3688">SUM(E723:E724)</f>
        <v>0</v>
      </c>
      <c r="F722" s="45">
        <f t="shared" si="3688"/>
        <v>0</v>
      </c>
      <c r="G722" s="45">
        <f t="shared" si="3688"/>
        <v>0</v>
      </c>
      <c r="H722" s="45">
        <f t="shared" si="3688"/>
        <v>420000</v>
      </c>
      <c r="I722" s="47">
        <f t="shared" si="3007"/>
        <v>0</v>
      </c>
      <c r="J722" s="47">
        <f t="shared" si="2705"/>
        <v>0</v>
      </c>
      <c r="K722" s="46">
        <f t="shared" ref="K722:W722" si="3689">SUM(K723:K724)</f>
        <v>0</v>
      </c>
      <c r="L722" s="46">
        <f t="shared" si="3689"/>
        <v>0</v>
      </c>
      <c r="M722" s="46">
        <f t="shared" si="3689"/>
        <v>0</v>
      </c>
      <c r="N722" s="46">
        <f t="shared" si="3689"/>
        <v>0</v>
      </c>
      <c r="O722" s="46">
        <f t="shared" si="3689"/>
        <v>0</v>
      </c>
      <c r="P722" s="46">
        <f t="shared" si="3689"/>
        <v>0</v>
      </c>
      <c r="Q722" s="46">
        <f t="shared" si="3689"/>
        <v>0</v>
      </c>
      <c r="R722" s="46">
        <f t="shared" si="3689"/>
        <v>0</v>
      </c>
      <c r="S722" s="46">
        <f t="shared" si="3689"/>
        <v>0</v>
      </c>
      <c r="T722" s="46">
        <f t="shared" si="3689"/>
        <v>0</v>
      </c>
      <c r="U722" s="46">
        <f t="shared" si="3689"/>
        <v>0</v>
      </c>
      <c r="V722" s="46">
        <f t="shared" si="3689"/>
        <v>0</v>
      </c>
      <c r="W722" s="46">
        <f t="shared" si="3689"/>
        <v>0</v>
      </c>
      <c r="X722" s="50">
        <f t="shared" ref="X722:Y722" si="3690">IF(O722&gt;0,O722/K722,0)</f>
        <v>0</v>
      </c>
      <c r="Y722" s="50">
        <f t="shared" si="3690"/>
        <v>0</v>
      </c>
      <c r="Z722" s="50">
        <f t="shared" si="3511"/>
        <v>0</v>
      </c>
      <c r="AA722" s="46">
        <f t="shared" ref="AA722:BW722" si="3691">SUM(AA723:AA724)</f>
        <v>0</v>
      </c>
      <c r="AB722" s="46">
        <f t="shared" si="3691"/>
        <v>0</v>
      </c>
      <c r="AC722" s="46">
        <f t="shared" si="3691"/>
        <v>0</v>
      </c>
      <c r="AD722" s="46">
        <f t="shared" si="3691"/>
        <v>0</v>
      </c>
      <c r="AE722" s="46">
        <f t="shared" si="3691"/>
        <v>0</v>
      </c>
      <c r="AF722" s="46">
        <f t="shared" si="3691"/>
        <v>0</v>
      </c>
      <c r="AG722" s="46">
        <f t="shared" si="3691"/>
        <v>0</v>
      </c>
      <c r="AH722" s="46">
        <f t="shared" si="3691"/>
        <v>0</v>
      </c>
      <c r="AI722" s="46">
        <f t="shared" si="3691"/>
        <v>0</v>
      </c>
      <c r="AJ722" s="46">
        <f t="shared" si="3691"/>
        <v>0</v>
      </c>
      <c r="AK722" s="46">
        <f t="shared" si="3691"/>
        <v>0</v>
      </c>
      <c r="AL722" s="46">
        <f t="shared" si="3691"/>
        <v>0</v>
      </c>
      <c r="AM722" s="46">
        <f t="shared" si="3691"/>
        <v>0</v>
      </c>
      <c r="AN722" s="46">
        <f t="shared" si="3691"/>
        <v>0</v>
      </c>
      <c r="AO722" s="46">
        <f t="shared" si="3691"/>
        <v>0</v>
      </c>
      <c r="AP722" s="46">
        <f t="shared" si="3691"/>
        <v>0</v>
      </c>
      <c r="AQ722" s="46">
        <f t="shared" si="3691"/>
        <v>0</v>
      </c>
      <c r="AR722" s="46">
        <f t="shared" si="3691"/>
        <v>0</v>
      </c>
      <c r="AS722" s="46">
        <f t="shared" si="3691"/>
        <v>0</v>
      </c>
      <c r="AT722" s="46">
        <f t="shared" si="3691"/>
        <v>0</v>
      </c>
      <c r="AU722" s="46">
        <f t="shared" si="3691"/>
        <v>0</v>
      </c>
      <c r="AV722" s="46">
        <f t="shared" si="3691"/>
        <v>0</v>
      </c>
      <c r="AW722" s="46">
        <f t="shared" si="3691"/>
        <v>0</v>
      </c>
      <c r="AX722" s="46">
        <f t="shared" si="3691"/>
        <v>0</v>
      </c>
      <c r="AY722" s="46">
        <f t="shared" si="3691"/>
        <v>0</v>
      </c>
      <c r="AZ722" s="46">
        <f t="shared" si="3691"/>
        <v>0</v>
      </c>
      <c r="BA722" s="46">
        <f t="shared" si="3691"/>
        <v>0</v>
      </c>
      <c r="BB722" s="46">
        <f t="shared" si="3691"/>
        <v>0</v>
      </c>
      <c r="BC722" s="46">
        <f t="shared" si="3691"/>
        <v>0</v>
      </c>
      <c r="BD722" s="46">
        <f t="shared" si="3691"/>
        <v>0</v>
      </c>
      <c r="BE722" s="46">
        <f t="shared" si="3691"/>
        <v>0</v>
      </c>
      <c r="BF722" s="46">
        <f t="shared" si="3691"/>
        <v>0</v>
      </c>
      <c r="BG722" s="46">
        <f t="shared" si="3691"/>
        <v>0</v>
      </c>
      <c r="BH722" s="46">
        <f t="shared" si="3691"/>
        <v>0</v>
      </c>
      <c r="BI722" s="46">
        <f t="shared" si="3691"/>
        <v>0</v>
      </c>
      <c r="BJ722" s="46">
        <f t="shared" si="3691"/>
        <v>0</v>
      </c>
      <c r="BK722" s="46">
        <f t="shared" si="3691"/>
        <v>0</v>
      </c>
      <c r="BL722" s="46">
        <f t="shared" si="3691"/>
        <v>0</v>
      </c>
      <c r="BM722" s="46">
        <f t="shared" si="3691"/>
        <v>0</v>
      </c>
      <c r="BN722" s="46">
        <f t="shared" si="3691"/>
        <v>0</v>
      </c>
      <c r="BO722" s="46">
        <f t="shared" si="3691"/>
        <v>0</v>
      </c>
      <c r="BP722" s="46">
        <f t="shared" si="3691"/>
        <v>0</v>
      </c>
      <c r="BQ722" s="46">
        <f t="shared" si="3691"/>
        <v>0</v>
      </c>
      <c r="BR722" s="46">
        <f t="shared" si="3691"/>
        <v>0</v>
      </c>
      <c r="BS722" s="46">
        <f t="shared" si="3691"/>
        <v>0</v>
      </c>
      <c r="BT722" s="46">
        <f t="shared" si="3691"/>
        <v>0</v>
      </c>
      <c r="BU722" s="46">
        <f t="shared" si="3691"/>
        <v>0</v>
      </c>
      <c r="BV722" s="46">
        <f t="shared" si="3691"/>
        <v>0</v>
      </c>
      <c r="BW722" s="46">
        <f t="shared" si="3691"/>
        <v>0</v>
      </c>
      <c r="BX722" s="51"/>
      <c r="BY722" s="51"/>
      <c r="BZ722" s="51"/>
      <c r="CA722" s="51"/>
      <c r="CB722" s="51"/>
      <c r="CC722" s="51"/>
      <c r="CD722" s="51"/>
      <c r="CE722" s="51"/>
      <c r="CF722" s="51"/>
      <c r="CG722" s="51"/>
    </row>
    <row r="723" spans="1:85" ht="15.75" customHeight="1">
      <c r="A723" s="54"/>
      <c r="B723" s="103"/>
      <c r="C723" s="68" t="s">
        <v>262</v>
      </c>
      <c r="D723" s="105" t="s">
        <v>877</v>
      </c>
      <c r="E723" s="99">
        <v>0</v>
      </c>
      <c r="F723" s="99">
        <v>0</v>
      </c>
      <c r="G723" s="58">
        <f t="shared" ref="G723:G724" si="3692">E723-F723</f>
        <v>0</v>
      </c>
      <c r="H723" s="56">
        <v>270000</v>
      </c>
      <c r="I723" s="59">
        <f t="shared" si="3007"/>
        <v>0</v>
      </c>
      <c r="J723" s="59">
        <f t="shared" si="2705"/>
        <v>0</v>
      </c>
      <c r="K723" s="74">
        <v>0</v>
      </c>
      <c r="L723" s="74">
        <v>0</v>
      </c>
      <c r="M723" s="74">
        <v>0</v>
      </c>
      <c r="N723" s="74">
        <v>0</v>
      </c>
      <c r="O723" s="61">
        <f t="shared" ref="O723:Q723" si="3693">AA723+AD723+AG723+AJ723+AM723+AP723+AS723+AV723+AY723+BB723+BE723+BH723</f>
        <v>0</v>
      </c>
      <c r="P723" s="61">
        <f t="shared" si="3693"/>
        <v>0</v>
      </c>
      <c r="Q723" s="61">
        <f t="shared" si="3693"/>
        <v>0</v>
      </c>
      <c r="R723" s="61">
        <f t="shared" ref="R723:T723" si="3694">IF(BK723=0,SUM(AA723+AD723+AG723+AJ723+AM723+AP723+AS723+AV723+AY723+BB723+BE723+BH723),BK723)</f>
        <v>0</v>
      </c>
      <c r="S723" s="61">
        <f t="shared" si="3694"/>
        <v>0</v>
      </c>
      <c r="T723" s="61">
        <f t="shared" si="3694"/>
        <v>0</v>
      </c>
      <c r="U723" s="63">
        <f t="shared" ref="U723:U724" si="3695">K723-O723</f>
        <v>0</v>
      </c>
      <c r="V723" s="63">
        <f t="shared" ref="V723:V724" si="3696">L723-M723-S723</f>
        <v>0</v>
      </c>
      <c r="W723" s="63">
        <f t="shared" ref="W723:W724" si="3697">N723-Q723</f>
        <v>0</v>
      </c>
      <c r="X723" s="64">
        <f t="shared" ref="X723:Y723" si="3698">IF(O723&gt;0,O723/K723,0)</f>
        <v>0</v>
      </c>
      <c r="Y723" s="64">
        <f t="shared" si="3698"/>
        <v>0</v>
      </c>
      <c r="Z723" s="64">
        <f t="shared" si="3511"/>
        <v>0</v>
      </c>
      <c r="AA723" s="65"/>
      <c r="AB723" s="65"/>
      <c r="AC723" s="65"/>
      <c r="AD723" s="65"/>
      <c r="AE723" s="66"/>
      <c r="AF723" s="66"/>
      <c r="AG723" s="66"/>
      <c r="AH723" s="66"/>
      <c r="AI723" s="65"/>
      <c r="AJ723" s="65"/>
      <c r="AK723" s="65"/>
      <c r="AL723" s="65"/>
      <c r="AM723" s="65"/>
      <c r="AN723" s="65"/>
      <c r="AO723" s="65"/>
      <c r="AP723" s="65"/>
      <c r="AQ723" s="65"/>
      <c r="AR723" s="65"/>
      <c r="AS723" s="65"/>
      <c r="AT723" s="65"/>
      <c r="AU723" s="65"/>
      <c r="AV723" s="65"/>
      <c r="AW723" s="65"/>
      <c r="AX723" s="65"/>
      <c r="AY723" s="65"/>
      <c r="AZ723" s="65"/>
      <c r="BA723" s="65"/>
      <c r="BB723" s="65"/>
      <c r="BC723" s="65"/>
      <c r="BD723" s="65"/>
      <c r="BE723" s="65"/>
      <c r="BF723" s="65"/>
      <c r="BG723" s="65"/>
      <c r="BH723" s="65"/>
      <c r="BI723" s="65"/>
      <c r="BJ723" s="65"/>
      <c r="BK723" s="65">
        <v>0</v>
      </c>
      <c r="BL723" s="65">
        <v>0</v>
      </c>
      <c r="BM723" s="65">
        <v>0</v>
      </c>
      <c r="BN723" s="65">
        <f t="shared" ref="BN723:BN724" si="3699">IF(O723-BK723&gt;0,O723-BK723,0)</f>
        <v>0</v>
      </c>
      <c r="BO723" s="67">
        <f t="shared" ref="BO723:BO724" si="3700">IF(Q723-BM723&gt;0,Q723-BM723,0)</f>
        <v>0</v>
      </c>
      <c r="BP723" s="65">
        <f t="shared" ref="BP723:BP724" si="3701">IF(BN723+BO723&gt;0,BN723+BO723,0)</f>
        <v>0</v>
      </c>
      <c r="BQ723" s="65">
        <f t="shared" ref="BQ723:BQ724" si="3702">IF(U723=0,0,U723)</f>
        <v>0</v>
      </c>
      <c r="BR723" s="65">
        <f t="shared" ref="BR723:BR724" si="3703">IF(W723=0,0,W723)</f>
        <v>0</v>
      </c>
      <c r="BS723" s="65">
        <f t="shared" ref="BS723:BS724" si="3704">IF(BQ723+BR723&gt;0,BQ723+BR723,0)</f>
        <v>0</v>
      </c>
      <c r="BT723" s="65">
        <f t="shared" ref="BT723:BT724" si="3705">IF(V723&gt;0,V723,0)</f>
        <v>0</v>
      </c>
      <c r="BU723" s="65">
        <f t="shared" ref="BU723:BU724" si="3706">IF(BP723=0,0,BP723)</f>
        <v>0</v>
      </c>
      <c r="BV723" s="65">
        <f t="shared" ref="BV723:BV724" si="3707">IF(BS723=0,0,BS723)</f>
        <v>0</v>
      </c>
      <c r="BW723" s="65">
        <f t="shared" ref="BW723:BW724" si="3708">IF(BP723+BT723+BV723&gt;0,BP723+BT723+BV723,0)</f>
        <v>0</v>
      </c>
      <c r="BX723" s="6"/>
      <c r="BY723" s="6"/>
      <c r="BZ723" s="6"/>
      <c r="CA723" s="6"/>
      <c r="CB723" s="6"/>
      <c r="CC723" s="6"/>
      <c r="CD723" s="6"/>
      <c r="CE723" s="6"/>
      <c r="CF723" s="6"/>
      <c r="CG723" s="6"/>
    </row>
    <row r="724" spans="1:85" ht="15.75" customHeight="1">
      <c r="A724" s="68"/>
      <c r="B724" s="103"/>
      <c r="C724" s="68" t="s">
        <v>288</v>
      </c>
      <c r="D724" s="70" t="s">
        <v>878</v>
      </c>
      <c r="E724" s="99">
        <v>0</v>
      </c>
      <c r="F724" s="99">
        <v>0</v>
      </c>
      <c r="G724" s="58">
        <f t="shared" si="3692"/>
        <v>0</v>
      </c>
      <c r="H724" s="56">
        <v>150000</v>
      </c>
      <c r="I724" s="59">
        <f t="shared" si="3007"/>
        <v>0</v>
      </c>
      <c r="J724" s="59">
        <f t="shared" si="2705"/>
        <v>0</v>
      </c>
      <c r="K724" s="74">
        <v>0</v>
      </c>
      <c r="L724" s="74">
        <v>0</v>
      </c>
      <c r="M724" s="74">
        <v>0</v>
      </c>
      <c r="N724" s="74">
        <v>0</v>
      </c>
      <c r="O724" s="61">
        <f t="shared" ref="O724:Q724" si="3709">AA724+AD724+AG724+AJ724+AM724+AP724+AS724+AV724+AY724+BB724+BE724+BH724</f>
        <v>0</v>
      </c>
      <c r="P724" s="61">
        <f t="shared" si="3709"/>
        <v>0</v>
      </c>
      <c r="Q724" s="61">
        <f t="shared" si="3709"/>
        <v>0</v>
      </c>
      <c r="R724" s="61">
        <f t="shared" ref="R724:T724" si="3710">IF(BK724=0,SUM(AA724+AD724+AG724+AJ724+AM724+AP724+AS724+AV724+AY724+BB724+BE724+BH724),BK724)</f>
        <v>0</v>
      </c>
      <c r="S724" s="61">
        <f t="shared" si="3710"/>
        <v>0</v>
      </c>
      <c r="T724" s="61">
        <f t="shared" si="3710"/>
        <v>0</v>
      </c>
      <c r="U724" s="63">
        <f t="shared" si="3695"/>
        <v>0</v>
      </c>
      <c r="V724" s="63">
        <f t="shared" si="3696"/>
        <v>0</v>
      </c>
      <c r="W724" s="63">
        <f t="shared" si="3697"/>
        <v>0</v>
      </c>
      <c r="X724" s="64">
        <f t="shared" ref="X724:Y724" si="3711">IF(O724&gt;0,O724/K724,0)</f>
        <v>0</v>
      </c>
      <c r="Y724" s="64">
        <f t="shared" si="3711"/>
        <v>0</v>
      </c>
      <c r="Z724" s="64">
        <f t="shared" si="3511"/>
        <v>0</v>
      </c>
      <c r="AA724" s="65"/>
      <c r="AB724" s="65"/>
      <c r="AC724" s="65"/>
      <c r="AD724" s="65"/>
      <c r="AE724" s="66"/>
      <c r="AF724" s="66"/>
      <c r="AG724" s="66"/>
      <c r="AH724" s="66"/>
      <c r="AI724" s="65"/>
      <c r="AJ724" s="65"/>
      <c r="AK724" s="65"/>
      <c r="AL724" s="65"/>
      <c r="AM724" s="65"/>
      <c r="AN724" s="65"/>
      <c r="AO724" s="65"/>
      <c r="AP724" s="65"/>
      <c r="AQ724" s="65"/>
      <c r="AR724" s="65"/>
      <c r="AS724" s="65"/>
      <c r="AT724" s="65"/>
      <c r="AU724" s="65"/>
      <c r="AV724" s="65"/>
      <c r="AW724" s="65"/>
      <c r="AX724" s="65"/>
      <c r="AY724" s="65"/>
      <c r="AZ724" s="65"/>
      <c r="BA724" s="65"/>
      <c r="BB724" s="65"/>
      <c r="BC724" s="65"/>
      <c r="BD724" s="65"/>
      <c r="BE724" s="65"/>
      <c r="BF724" s="65"/>
      <c r="BG724" s="65"/>
      <c r="BH724" s="65"/>
      <c r="BI724" s="65"/>
      <c r="BJ724" s="65"/>
      <c r="BK724" s="65">
        <v>0</v>
      </c>
      <c r="BL724" s="65">
        <v>0</v>
      </c>
      <c r="BM724" s="65">
        <v>0</v>
      </c>
      <c r="BN724" s="65">
        <f t="shared" si="3699"/>
        <v>0</v>
      </c>
      <c r="BO724" s="67">
        <f t="shared" si="3700"/>
        <v>0</v>
      </c>
      <c r="BP724" s="65">
        <f t="shared" si="3701"/>
        <v>0</v>
      </c>
      <c r="BQ724" s="65">
        <f t="shared" si="3702"/>
        <v>0</v>
      </c>
      <c r="BR724" s="65">
        <f t="shared" si="3703"/>
        <v>0</v>
      </c>
      <c r="BS724" s="65">
        <f t="shared" si="3704"/>
        <v>0</v>
      </c>
      <c r="BT724" s="65">
        <f t="shared" si="3705"/>
        <v>0</v>
      </c>
      <c r="BU724" s="65">
        <f t="shared" si="3706"/>
        <v>0</v>
      </c>
      <c r="BV724" s="65">
        <f t="shared" si="3707"/>
        <v>0</v>
      </c>
      <c r="BW724" s="65">
        <f t="shared" si="3708"/>
        <v>0</v>
      </c>
      <c r="BX724" s="6"/>
      <c r="BY724" s="6"/>
      <c r="BZ724" s="6"/>
      <c r="CA724" s="6"/>
      <c r="CB724" s="6"/>
      <c r="CC724" s="6"/>
      <c r="CD724" s="6"/>
      <c r="CE724" s="6"/>
      <c r="CF724" s="6"/>
      <c r="CG724" s="6"/>
    </row>
    <row r="725" spans="1:85" ht="15.75">
      <c r="A725" s="75"/>
      <c r="B725" s="76"/>
      <c r="C725" s="77"/>
      <c r="D725" s="78" t="s">
        <v>879</v>
      </c>
      <c r="E725" s="45">
        <f t="shared" ref="E725:H725" si="3712">SUM(E726:E739)</f>
        <v>0</v>
      </c>
      <c r="F725" s="45">
        <f t="shared" si="3712"/>
        <v>0</v>
      </c>
      <c r="G725" s="45">
        <f t="shared" si="3712"/>
        <v>0</v>
      </c>
      <c r="H725" s="45">
        <f t="shared" si="3712"/>
        <v>0</v>
      </c>
      <c r="I725" s="47">
        <f t="shared" si="3007"/>
        <v>0</v>
      </c>
      <c r="J725" s="47">
        <f t="shared" si="2705"/>
        <v>0</v>
      </c>
      <c r="K725" s="45">
        <f t="shared" ref="K725:W725" si="3713">SUM(K726:K739)</f>
        <v>0</v>
      </c>
      <c r="L725" s="45">
        <f t="shared" si="3713"/>
        <v>149130.4</v>
      </c>
      <c r="M725" s="45">
        <f t="shared" si="3713"/>
        <v>0</v>
      </c>
      <c r="N725" s="45">
        <f t="shared" si="3713"/>
        <v>0</v>
      </c>
      <c r="O725" s="45">
        <f t="shared" si="3713"/>
        <v>0</v>
      </c>
      <c r="P725" s="45">
        <f t="shared" si="3713"/>
        <v>148720.4</v>
      </c>
      <c r="Q725" s="45">
        <f t="shared" si="3713"/>
        <v>0</v>
      </c>
      <c r="R725" s="45">
        <f t="shared" si="3713"/>
        <v>0</v>
      </c>
      <c r="S725" s="45">
        <f t="shared" si="3713"/>
        <v>148720.4</v>
      </c>
      <c r="T725" s="45">
        <f t="shared" si="3713"/>
        <v>0</v>
      </c>
      <c r="U725" s="45">
        <f t="shared" si="3713"/>
        <v>0</v>
      </c>
      <c r="V725" s="45">
        <f t="shared" si="3713"/>
        <v>410</v>
      </c>
      <c r="W725" s="45">
        <f t="shared" si="3713"/>
        <v>0</v>
      </c>
      <c r="X725" s="50">
        <f t="shared" ref="X725:Y725" si="3714">IF(O725&gt;0,O725/K725,0)</f>
        <v>0</v>
      </c>
      <c r="Y725" s="50">
        <f t="shared" si="3714"/>
        <v>0.99725072822174421</v>
      </c>
      <c r="Z725" s="50">
        <f t="shared" si="3511"/>
        <v>0</v>
      </c>
      <c r="AA725" s="45">
        <f t="shared" ref="AA725:BW725" si="3715">SUM(AA726:AA739)</f>
        <v>0</v>
      </c>
      <c r="AB725" s="45">
        <f t="shared" si="3715"/>
        <v>12893.07</v>
      </c>
      <c r="AC725" s="45">
        <f t="shared" si="3715"/>
        <v>0</v>
      </c>
      <c r="AD725" s="45">
        <f t="shared" si="3715"/>
        <v>0</v>
      </c>
      <c r="AE725" s="45">
        <f t="shared" si="3715"/>
        <v>5741.85</v>
      </c>
      <c r="AF725" s="45">
        <f t="shared" si="3715"/>
        <v>0</v>
      </c>
      <c r="AG725" s="45">
        <f t="shared" si="3715"/>
        <v>0</v>
      </c>
      <c r="AH725" s="45">
        <f t="shared" si="3715"/>
        <v>106112.08</v>
      </c>
      <c r="AI725" s="45">
        <f t="shared" si="3715"/>
        <v>0</v>
      </c>
      <c r="AJ725" s="45">
        <f t="shared" si="3715"/>
        <v>0</v>
      </c>
      <c r="AK725" s="45">
        <f t="shared" si="3715"/>
        <v>0</v>
      </c>
      <c r="AL725" s="45">
        <f t="shared" si="3715"/>
        <v>0</v>
      </c>
      <c r="AM725" s="45">
        <f t="shared" si="3715"/>
        <v>0</v>
      </c>
      <c r="AN725" s="45">
        <f t="shared" si="3715"/>
        <v>3973.4</v>
      </c>
      <c r="AO725" s="45">
        <f t="shared" si="3715"/>
        <v>0</v>
      </c>
      <c r="AP725" s="45">
        <f t="shared" si="3715"/>
        <v>0</v>
      </c>
      <c r="AQ725" s="45">
        <f t="shared" si="3715"/>
        <v>20000</v>
      </c>
      <c r="AR725" s="45">
        <f t="shared" si="3715"/>
        <v>0</v>
      </c>
      <c r="AS725" s="45">
        <f t="shared" si="3715"/>
        <v>0</v>
      </c>
      <c r="AT725" s="45">
        <f t="shared" si="3715"/>
        <v>0</v>
      </c>
      <c r="AU725" s="45">
        <f t="shared" si="3715"/>
        <v>0</v>
      </c>
      <c r="AV725" s="45">
        <f t="shared" si="3715"/>
        <v>0</v>
      </c>
      <c r="AW725" s="45">
        <f t="shared" si="3715"/>
        <v>0</v>
      </c>
      <c r="AX725" s="45">
        <f t="shared" si="3715"/>
        <v>0</v>
      </c>
      <c r="AY725" s="45">
        <f t="shared" si="3715"/>
        <v>0</v>
      </c>
      <c r="AZ725" s="45">
        <f t="shared" si="3715"/>
        <v>0</v>
      </c>
      <c r="BA725" s="45">
        <f t="shared" si="3715"/>
        <v>0</v>
      </c>
      <c r="BB725" s="45">
        <f t="shared" si="3715"/>
        <v>0</v>
      </c>
      <c r="BC725" s="45">
        <f t="shared" si="3715"/>
        <v>0</v>
      </c>
      <c r="BD725" s="45">
        <f t="shared" si="3715"/>
        <v>0</v>
      </c>
      <c r="BE725" s="45">
        <f t="shared" si="3715"/>
        <v>0</v>
      </c>
      <c r="BF725" s="45">
        <f t="shared" si="3715"/>
        <v>0</v>
      </c>
      <c r="BG725" s="45">
        <f t="shared" si="3715"/>
        <v>0</v>
      </c>
      <c r="BH725" s="45">
        <f t="shared" si="3715"/>
        <v>0</v>
      </c>
      <c r="BI725" s="45">
        <f t="shared" si="3715"/>
        <v>0</v>
      </c>
      <c r="BJ725" s="45">
        <f t="shared" si="3715"/>
        <v>0</v>
      </c>
      <c r="BK725" s="45">
        <f t="shared" si="3715"/>
        <v>0</v>
      </c>
      <c r="BL725" s="45">
        <f t="shared" si="3715"/>
        <v>0</v>
      </c>
      <c r="BM725" s="45">
        <f t="shared" si="3715"/>
        <v>0</v>
      </c>
      <c r="BN725" s="45">
        <f t="shared" si="3715"/>
        <v>0</v>
      </c>
      <c r="BO725" s="45">
        <f t="shared" si="3715"/>
        <v>0</v>
      </c>
      <c r="BP725" s="45">
        <f t="shared" si="3715"/>
        <v>0</v>
      </c>
      <c r="BQ725" s="45">
        <f t="shared" si="3715"/>
        <v>0</v>
      </c>
      <c r="BR725" s="45">
        <f t="shared" si="3715"/>
        <v>0</v>
      </c>
      <c r="BS725" s="45">
        <f t="shared" si="3715"/>
        <v>0</v>
      </c>
      <c r="BT725" s="45">
        <f t="shared" si="3715"/>
        <v>410</v>
      </c>
      <c r="BU725" s="45">
        <f t="shared" si="3715"/>
        <v>0</v>
      </c>
      <c r="BV725" s="45">
        <f t="shared" si="3715"/>
        <v>0</v>
      </c>
      <c r="BW725" s="45">
        <f t="shared" si="3715"/>
        <v>410</v>
      </c>
      <c r="BX725" s="51"/>
      <c r="BY725" s="51"/>
      <c r="BZ725" s="51"/>
      <c r="CA725" s="51"/>
      <c r="CB725" s="51"/>
      <c r="CC725" s="51"/>
      <c r="CD725" s="51"/>
      <c r="CE725" s="51"/>
      <c r="CF725" s="51"/>
      <c r="CG725" s="51"/>
    </row>
    <row r="726" spans="1:85" ht="15.75" customHeight="1">
      <c r="A726" s="196"/>
      <c r="B726" s="196" t="s">
        <v>880</v>
      </c>
      <c r="C726" s="68" t="s">
        <v>881</v>
      </c>
      <c r="D726" s="380" t="s">
        <v>882</v>
      </c>
      <c r="E726" s="99">
        <v>0</v>
      </c>
      <c r="F726" s="99">
        <v>0</v>
      </c>
      <c r="G726" s="58">
        <f t="shared" ref="G726:G739" si="3716">E726-F726</f>
        <v>0</v>
      </c>
      <c r="H726" s="99">
        <v>0</v>
      </c>
      <c r="I726" s="59">
        <f t="shared" si="3007"/>
        <v>0</v>
      </c>
      <c r="J726" s="59">
        <f t="shared" si="2705"/>
        <v>0</v>
      </c>
      <c r="K726" s="74">
        <v>0</v>
      </c>
      <c r="L726" s="117">
        <v>20000</v>
      </c>
      <c r="M726" s="74">
        <v>0</v>
      </c>
      <c r="N726" s="74">
        <v>0</v>
      </c>
      <c r="O726" s="61">
        <f t="shared" ref="O726:Q726" si="3717">AA726+AD726+AG726+AJ726+AM726+AP726+AS726+AV726+AY726+BB726+BE726+BH726</f>
        <v>0</v>
      </c>
      <c r="P726" s="61">
        <f t="shared" si="3717"/>
        <v>20000</v>
      </c>
      <c r="Q726" s="61">
        <f t="shared" si="3717"/>
        <v>0</v>
      </c>
      <c r="R726" s="61">
        <f t="shared" ref="R726:T726" si="3718">IF(BK726=0,SUM(AA726+AD726+AG726+AJ726+AM726+AP726+AS726+AV726+AY726+BB726+BE726+BH726),BK726)</f>
        <v>0</v>
      </c>
      <c r="S726" s="61">
        <f t="shared" si="3718"/>
        <v>20000</v>
      </c>
      <c r="T726" s="61">
        <f t="shared" si="3718"/>
        <v>0</v>
      </c>
      <c r="U726" s="63">
        <f t="shared" ref="U726:U739" si="3719">K726-O726</f>
        <v>0</v>
      </c>
      <c r="V726" s="63">
        <f t="shared" ref="V726:V739" si="3720">L726-M726-S726</f>
        <v>0</v>
      </c>
      <c r="W726" s="208">
        <f t="shared" ref="W726:W739" si="3721">N726-Q726</f>
        <v>0</v>
      </c>
      <c r="X726" s="64">
        <f t="shared" ref="X726:Y726" si="3722">IF(O726&gt;0,O726/K726,0)</f>
        <v>0</v>
      </c>
      <c r="Y726" s="64">
        <f t="shared" si="3722"/>
        <v>1</v>
      </c>
      <c r="Z726" s="64">
        <f t="shared" si="3511"/>
        <v>0</v>
      </c>
      <c r="AA726" s="65"/>
      <c r="AB726" s="65"/>
      <c r="AC726" s="65"/>
      <c r="AD726" s="65"/>
      <c r="AE726" s="66"/>
      <c r="AF726" s="66"/>
      <c r="AG726" s="66"/>
      <c r="AH726" s="66"/>
      <c r="AI726" s="65"/>
      <c r="AJ726" s="65"/>
      <c r="AK726" s="65"/>
      <c r="AL726" s="65"/>
      <c r="AM726" s="65"/>
      <c r="AN726" s="65"/>
      <c r="AO726" s="65"/>
      <c r="AP726" s="65"/>
      <c r="AQ726" s="100">
        <v>20000</v>
      </c>
      <c r="AR726" s="65"/>
      <c r="AS726" s="65"/>
      <c r="AT726" s="65"/>
      <c r="AU726" s="65"/>
      <c r="AV726" s="65"/>
      <c r="AW726" s="65"/>
      <c r="AX726" s="65"/>
      <c r="AY726" s="65"/>
      <c r="AZ726" s="65"/>
      <c r="BA726" s="65"/>
      <c r="BB726" s="65"/>
      <c r="BC726" s="65"/>
      <c r="BD726" s="65"/>
      <c r="BE726" s="65"/>
      <c r="BF726" s="65"/>
      <c r="BG726" s="65"/>
      <c r="BH726" s="65"/>
      <c r="BI726" s="65"/>
      <c r="BJ726" s="65"/>
      <c r="BK726" s="65">
        <v>0</v>
      </c>
      <c r="BL726" s="65">
        <v>0</v>
      </c>
      <c r="BM726" s="65">
        <v>0</v>
      </c>
      <c r="BN726" s="65">
        <f t="shared" ref="BN726:BN739" si="3723">IF(O726-BK726&gt;0,O726-BK726,0)</f>
        <v>0</v>
      </c>
      <c r="BO726" s="67">
        <f t="shared" ref="BO726:BO739" si="3724">IF(Q726-BM726&gt;0,Q726-BM726,0)</f>
        <v>0</v>
      </c>
      <c r="BP726" s="65">
        <f t="shared" ref="BP726:BP739" si="3725">IF(BN726+BO726&gt;0,BN726+BO726,0)</f>
        <v>0</v>
      </c>
      <c r="BQ726" s="65">
        <f t="shared" ref="BQ726:BQ739" si="3726">IF(U726=0,0,U726)</f>
        <v>0</v>
      </c>
      <c r="BR726" s="65">
        <f t="shared" ref="BR726:BR739" si="3727">IF(W726=0,0,W726)</f>
        <v>0</v>
      </c>
      <c r="BS726" s="65">
        <f t="shared" ref="BS726:BS739" si="3728">IF(BQ726+BR726&gt;0,BQ726+BR726,0)</f>
        <v>0</v>
      </c>
      <c r="BT726" s="65">
        <f t="shared" ref="BT726:BT739" si="3729">IF(V726&gt;0,V726,0)</f>
        <v>0</v>
      </c>
      <c r="BU726" s="65">
        <f t="shared" ref="BU726:BU739" si="3730">IF(BP726=0,0,BP726)</f>
        <v>0</v>
      </c>
      <c r="BV726" s="65">
        <f t="shared" ref="BV726:BV739" si="3731">IF(BS726=0,0,BS726)</f>
        <v>0</v>
      </c>
      <c r="BW726" s="65">
        <f t="shared" ref="BW726:BW739" si="3732">IF(BP726+BT726+BV726&gt;0,BP726+BT726+BV726,0)</f>
        <v>0</v>
      </c>
      <c r="BX726" s="6"/>
      <c r="BY726" s="6"/>
      <c r="BZ726" s="6"/>
      <c r="CA726" s="6"/>
      <c r="CB726" s="6"/>
      <c r="CC726" s="6"/>
      <c r="CD726" s="6"/>
      <c r="CE726" s="6"/>
      <c r="CF726" s="6"/>
      <c r="CG726" s="6"/>
    </row>
    <row r="727" spans="1:85" ht="15.75" customHeight="1">
      <c r="A727" s="196"/>
      <c r="B727" s="196" t="s">
        <v>883</v>
      </c>
      <c r="C727" s="68" t="s">
        <v>881</v>
      </c>
      <c r="D727" s="380" t="s">
        <v>884</v>
      </c>
      <c r="E727" s="99">
        <v>0</v>
      </c>
      <c r="F727" s="99">
        <v>0</v>
      </c>
      <c r="G727" s="58">
        <f t="shared" si="3716"/>
        <v>0</v>
      </c>
      <c r="H727" s="99">
        <v>0</v>
      </c>
      <c r="I727" s="59">
        <f t="shared" si="3007"/>
        <v>0</v>
      </c>
      <c r="J727" s="59">
        <f t="shared" si="2705"/>
        <v>0</v>
      </c>
      <c r="K727" s="74">
        <v>0</v>
      </c>
      <c r="L727" s="117">
        <v>3450</v>
      </c>
      <c r="M727" s="74">
        <v>0</v>
      </c>
      <c r="N727" s="74">
        <v>0</v>
      </c>
      <c r="O727" s="61">
        <f t="shared" ref="O727:Q727" si="3733">AA727+AD727+AG727+AJ727+AM727+AP727+AS727+AV727+AY727+BB727+BE727+BH727</f>
        <v>0</v>
      </c>
      <c r="P727" s="61">
        <f t="shared" si="3733"/>
        <v>3450</v>
      </c>
      <c r="Q727" s="61">
        <f t="shared" si="3733"/>
        <v>0</v>
      </c>
      <c r="R727" s="61">
        <f t="shared" ref="R727:T727" si="3734">IF(BK727=0,SUM(AA727+AD727+AG727+AJ727+AM727+AP727+AS727+AV727+AY727+BB727+BE727+BH727),BK727)</f>
        <v>0</v>
      </c>
      <c r="S727" s="61">
        <f t="shared" si="3734"/>
        <v>3450</v>
      </c>
      <c r="T727" s="61">
        <f t="shared" si="3734"/>
        <v>0</v>
      </c>
      <c r="U727" s="63">
        <f t="shared" si="3719"/>
        <v>0</v>
      </c>
      <c r="V727" s="63">
        <f t="shared" si="3720"/>
        <v>0</v>
      </c>
      <c r="W727" s="208">
        <f t="shared" si="3721"/>
        <v>0</v>
      </c>
      <c r="X727" s="64">
        <f t="shared" ref="X727:Y727" si="3735">IF(O727&gt;0,O727/K727,0)</f>
        <v>0</v>
      </c>
      <c r="Y727" s="64">
        <f t="shared" si="3735"/>
        <v>1</v>
      </c>
      <c r="Z727" s="64">
        <f t="shared" si="3511"/>
        <v>0</v>
      </c>
      <c r="AA727" s="65"/>
      <c r="AB727" s="65"/>
      <c r="AC727" s="65"/>
      <c r="AD727" s="65"/>
      <c r="AE727" s="66"/>
      <c r="AF727" s="66"/>
      <c r="AG727" s="66"/>
      <c r="AH727" s="113">
        <v>3450</v>
      </c>
      <c r="AI727" s="65"/>
      <c r="AJ727" s="65"/>
      <c r="AK727" s="65"/>
      <c r="AL727" s="65"/>
      <c r="AM727" s="65"/>
      <c r="AN727" s="65"/>
      <c r="AO727" s="65"/>
      <c r="AP727" s="65"/>
      <c r="AQ727" s="65"/>
      <c r="AR727" s="65"/>
      <c r="AS727" s="65"/>
      <c r="AT727" s="65"/>
      <c r="AU727" s="65"/>
      <c r="AV727" s="65"/>
      <c r="AW727" s="65"/>
      <c r="AX727" s="65"/>
      <c r="AY727" s="65"/>
      <c r="AZ727" s="65"/>
      <c r="BA727" s="65"/>
      <c r="BB727" s="65"/>
      <c r="BC727" s="65"/>
      <c r="BD727" s="65"/>
      <c r="BE727" s="65"/>
      <c r="BF727" s="65"/>
      <c r="BG727" s="65"/>
      <c r="BH727" s="65"/>
      <c r="BI727" s="65"/>
      <c r="BJ727" s="65"/>
      <c r="BK727" s="65">
        <v>0</v>
      </c>
      <c r="BL727" s="65">
        <v>0</v>
      </c>
      <c r="BM727" s="65">
        <v>0</v>
      </c>
      <c r="BN727" s="65">
        <f t="shared" si="3723"/>
        <v>0</v>
      </c>
      <c r="BO727" s="67">
        <f t="shared" si="3724"/>
        <v>0</v>
      </c>
      <c r="BP727" s="65">
        <f t="shared" si="3725"/>
        <v>0</v>
      </c>
      <c r="BQ727" s="65">
        <f t="shared" si="3726"/>
        <v>0</v>
      </c>
      <c r="BR727" s="65">
        <f t="shared" si="3727"/>
        <v>0</v>
      </c>
      <c r="BS727" s="65">
        <f t="shared" si="3728"/>
        <v>0</v>
      </c>
      <c r="BT727" s="65">
        <f t="shared" si="3729"/>
        <v>0</v>
      </c>
      <c r="BU727" s="65">
        <f t="shared" si="3730"/>
        <v>0</v>
      </c>
      <c r="BV727" s="65">
        <f t="shared" si="3731"/>
        <v>0</v>
      </c>
      <c r="BW727" s="65">
        <f t="shared" si="3732"/>
        <v>0</v>
      </c>
      <c r="BX727" s="6"/>
      <c r="BY727" s="6"/>
      <c r="BZ727" s="6"/>
      <c r="CA727" s="6"/>
      <c r="CB727" s="6"/>
      <c r="CC727" s="6"/>
      <c r="CD727" s="6"/>
      <c r="CE727" s="6"/>
      <c r="CF727" s="6"/>
      <c r="CG727" s="6"/>
    </row>
    <row r="728" spans="1:85" ht="15.75" customHeight="1">
      <c r="A728" s="196"/>
      <c r="B728" s="196" t="s">
        <v>885</v>
      </c>
      <c r="C728" s="68" t="s">
        <v>881</v>
      </c>
      <c r="D728" s="380" t="s">
        <v>886</v>
      </c>
      <c r="E728" s="99">
        <v>0</v>
      </c>
      <c r="F728" s="99">
        <v>0</v>
      </c>
      <c r="G728" s="58">
        <f t="shared" si="3716"/>
        <v>0</v>
      </c>
      <c r="H728" s="99">
        <v>0</v>
      </c>
      <c r="I728" s="59">
        <f t="shared" si="3007"/>
        <v>0</v>
      </c>
      <c r="J728" s="59">
        <f t="shared" si="2705"/>
        <v>0</v>
      </c>
      <c r="K728" s="74">
        <v>0</v>
      </c>
      <c r="L728" s="117">
        <v>1570</v>
      </c>
      <c r="M728" s="74">
        <v>0</v>
      </c>
      <c r="N728" s="74">
        <v>0</v>
      </c>
      <c r="O728" s="61">
        <f t="shared" ref="O728:Q728" si="3736">AA728+AD728+AG728+AJ728+AM728+AP728+AS728+AV728+AY728+BB728+BE728+BH728</f>
        <v>0</v>
      </c>
      <c r="P728" s="61">
        <f t="shared" si="3736"/>
        <v>1570</v>
      </c>
      <c r="Q728" s="61">
        <f t="shared" si="3736"/>
        <v>0</v>
      </c>
      <c r="R728" s="61">
        <f t="shared" ref="R728:T728" si="3737">IF(BK728=0,SUM(AA728+AD728+AG728+AJ728+AM728+AP728+AS728+AV728+AY728+BB728+BE728+BH728),BK728)</f>
        <v>0</v>
      </c>
      <c r="S728" s="61">
        <f t="shared" si="3737"/>
        <v>1570</v>
      </c>
      <c r="T728" s="61">
        <f t="shared" si="3737"/>
        <v>0</v>
      </c>
      <c r="U728" s="63">
        <f t="shared" si="3719"/>
        <v>0</v>
      </c>
      <c r="V728" s="63">
        <f t="shared" si="3720"/>
        <v>0</v>
      </c>
      <c r="W728" s="208">
        <f t="shared" si="3721"/>
        <v>0</v>
      </c>
      <c r="X728" s="64">
        <f t="shared" ref="X728:Y728" si="3738">IF(O728&gt;0,O728/K728,0)</f>
        <v>0</v>
      </c>
      <c r="Y728" s="64">
        <f t="shared" si="3738"/>
        <v>1</v>
      </c>
      <c r="Z728" s="64">
        <f t="shared" si="3511"/>
        <v>0</v>
      </c>
      <c r="AA728" s="65"/>
      <c r="AB728" s="65"/>
      <c r="AC728" s="65"/>
      <c r="AD728" s="65"/>
      <c r="AE728" s="66"/>
      <c r="AF728" s="66"/>
      <c r="AG728" s="66"/>
      <c r="AH728" s="113">
        <v>1570</v>
      </c>
      <c r="AI728" s="65"/>
      <c r="AJ728" s="65"/>
      <c r="AK728" s="65"/>
      <c r="AL728" s="65"/>
      <c r="AM728" s="65"/>
      <c r="AN728" s="65"/>
      <c r="AO728" s="65"/>
      <c r="AP728" s="65"/>
      <c r="AQ728" s="65"/>
      <c r="AR728" s="65"/>
      <c r="AS728" s="65"/>
      <c r="AT728" s="65"/>
      <c r="AU728" s="65"/>
      <c r="AV728" s="65"/>
      <c r="AW728" s="65"/>
      <c r="AX728" s="65"/>
      <c r="AY728" s="65"/>
      <c r="AZ728" s="65"/>
      <c r="BA728" s="65"/>
      <c r="BB728" s="65"/>
      <c r="BC728" s="65"/>
      <c r="BD728" s="65"/>
      <c r="BE728" s="65"/>
      <c r="BF728" s="65"/>
      <c r="BG728" s="65"/>
      <c r="BH728" s="65"/>
      <c r="BI728" s="65"/>
      <c r="BJ728" s="65"/>
      <c r="BK728" s="65">
        <v>0</v>
      </c>
      <c r="BL728" s="65">
        <v>0</v>
      </c>
      <c r="BM728" s="65">
        <v>0</v>
      </c>
      <c r="BN728" s="65">
        <f t="shared" si="3723"/>
        <v>0</v>
      </c>
      <c r="BO728" s="67">
        <f t="shared" si="3724"/>
        <v>0</v>
      </c>
      <c r="BP728" s="65">
        <f t="shared" si="3725"/>
        <v>0</v>
      </c>
      <c r="BQ728" s="65">
        <f t="shared" si="3726"/>
        <v>0</v>
      </c>
      <c r="BR728" s="65">
        <f t="shared" si="3727"/>
        <v>0</v>
      </c>
      <c r="BS728" s="65">
        <f t="shared" si="3728"/>
        <v>0</v>
      </c>
      <c r="BT728" s="65">
        <f t="shared" si="3729"/>
        <v>0</v>
      </c>
      <c r="BU728" s="65">
        <f t="shared" si="3730"/>
        <v>0</v>
      </c>
      <c r="BV728" s="65">
        <f t="shared" si="3731"/>
        <v>0</v>
      </c>
      <c r="BW728" s="65">
        <f t="shared" si="3732"/>
        <v>0</v>
      </c>
      <c r="BX728" s="6"/>
      <c r="BY728" s="6"/>
      <c r="BZ728" s="6"/>
      <c r="CA728" s="6"/>
      <c r="CB728" s="6"/>
      <c r="CC728" s="6"/>
      <c r="CD728" s="6"/>
      <c r="CE728" s="6"/>
      <c r="CF728" s="6"/>
      <c r="CG728" s="6"/>
    </row>
    <row r="729" spans="1:85" ht="15.75" customHeight="1">
      <c r="A729" s="196"/>
      <c r="B729" s="196" t="s">
        <v>887</v>
      </c>
      <c r="C729" s="68" t="s">
        <v>265</v>
      </c>
      <c r="D729" s="380" t="s">
        <v>888</v>
      </c>
      <c r="E729" s="99">
        <v>0</v>
      </c>
      <c r="F729" s="99">
        <v>0</v>
      </c>
      <c r="G729" s="58">
        <f t="shared" si="3716"/>
        <v>0</v>
      </c>
      <c r="H729" s="99">
        <v>0</v>
      </c>
      <c r="I729" s="59">
        <f t="shared" si="3007"/>
        <v>0</v>
      </c>
      <c r="J729" s="59">
        <f t="shared" si="2705"/>
        <v>0</v>
      </c>
      <c r="K729" s="74">
        <v>0</v>
      </c>
      <c r="L729" s="117">
        <v>3295.13</v>
      </c>
      <c r="M729" s="74">
        <v>0</v>
      </c>
      <c r="N729" s="74">
        <v>0</v>
      </c>
      <c r="O729" s="61">
        <f t="shared" ref="O729:Q729" si="3739">AA729+AD729+AG729+AJ729+AM729+AP729+AS729+AV729+AY729+BB729+BE729+BH729</f>
        <v>0</v>
      </c>
      <c r="P729" s="61">
        <f t="shared" si="3739"/>
        <v>3295.13</v>
      </c>
      <c r="Q729" s="61">
        <f t="shared" si="3739"/>
        <v>0</v>
      </c>
      <c r="R729" s="61">
        <f t="shared" ref="R729:T729" si="3740">IF(BK729=0,SUM(AA729+AD729+AG729+AJ729+AM729+AP729+AS729+AV729+AY729+BB729+BE729+BH729),BK729)</f>
        <v>0</v>
      </c>
      <c r="S729" s="61">
        <f t="shared" si="3740"/>
        <v>3295.13</v>
      </c>
      <c r="T729" s="61">
        <f t="shared" si="3740"/>
        <v>0</v>
      </c>
      <c r="U729" s="63">
        <f t="shared" si="3719"/>
        <v>0</v>
      </c>
      <c r="V729" s="63">
        <f t="shared" si="3720"/>
        <v>0</v>
      </c>
      <c r="W729" s="208">
        <f t="shared" si="3721"/>
        <v>0</v>
      </c>
      <c r="X729" s="64">
        <f t="shared" ref="X729:Y729" si="3741">IF(O729&gt;0,O729/K729,0)</f>
        <v>0</v>
      </c>
      <c r="Y729" s="64">
        <f t="shared" si="3741"/>
        <v>1</v>
      </c>
      <c r="Z729" s="64">
        <f t="shared" si="3511"/>
        <v>0</v>
      </c>
      <c r="AA729" s="65"/>
      <c r="AB729" s="65"/>
      <c r="AC729" s="65"/>
      <c r="AD729" s="65"/>
      <c r="AE729" s="66"/>
      <c r="AF729" s="66"/>
      <c r="AG729" s="66"/>
      <c r="AH729" s="113">
        <v>3295.13</v>
      </c>
      <c r="AI729" s="65"/>
      <c r="AJ729" s="65"/>
      <c r="AK729" s="65"/>
      <c r="AL729" s="65"/>
      <c r="AM729" s="65"/>
      <c r="AN729" s="65"/>
      <c r="AO729" s="65"/>
      <c r="AP729" s="65"/>
      <c r="AQ729" s="65"/>
      <c r="AR729" s="65"/>
      <c r="AS729" s="65"/>
      <c r="AT729" s="65"/>
      <c r="AU729" s="65"/>
      <c r="AV729" s="65"/>
      <c r="AW729" s="65"/>
      <c r="AX729" s="65"/>
      <c r="AY729" s="65"/>
      <c r="AZ729" s="65"/>
      <c r="BA729" s="65"/>
      <c r="BB729" s="65"/>
      <c r="BC729" s="65"/>
      <c r="BD729" s="65"/>
      <c r="BE729" s="65"/>
      <c r="BF729" s="65"/>
      <c r="BG729" s="65"/>
      <c r="BH729" s="65"/>
      <c r="BI729" s="65"/>
      <c r="BJ729" s="65"/>
      <c r="BK729" s="65">
        <v>0</v>
      </c>
      <c r="BL729" s="65">
        <v>0</v>
      </c>
      <c r="BM729" s="65">
        <v>0</v>
      </c>
      <c r="BN729" s="65">
        <f t="shared" si="3723"/>
        <v>0</v>
      </c>
      <c r="BO729" s="67">
        <f t="shared" si="3724"/>
        <v>0</v>
      </c>
      <c r="BP729" s="65">
        <f t="shared" si="3725"/>
        <v>0</v>
      </c>
      <c r="BQ729" s="65">
        <f t="shared" si="3726"/>
        <v>0</v>
      </c>
      <c r="BR729" s="65">
        <f t="shared" si="3727"/>
        <v>0</v>
      </c>
      <c r="BS729" s="65">
        <f t="shared" si="3728"/>
        <v>0</v>
      </c>
      <c r="BT729" s="65">
        <f t="shared" si="3729"/>
        <v>0</v>
      </c>
      <c r="BU729" s="65">
        <f t="shared" si="3730"/>
        <v>0</v>
      </c>
      <c r="BV729" s="65">
        <f t="shared" si="3731"/>
        <v>0</v>
      </c>
      <c r="BW729" s="65">
        <f t="shared" si="3732"/>
        <v>0</v>
      </c>
      <c r="BX729" s="6"/>
      <c r="BY729" s="6"/>
      <c r="BZ729" s="6"/>
      <c r="CA729" s="6"/>
      <c r="CB729" s="6"/>
      <c r="CC729" s="6"/>
      <c r="CD729" s="6"/>
      <c r="CE729" s="6"/>
      <c r="CF729" s="6"/>
      <c r="CG729" s="6"/>
    </row>
    <row r="730" spans="1:85" ht="15.75" customHeight="1">
      <c r="A730" s="196"/>
      <c r="B730" s="196" t="s">
        <v>889</v>
      </c>
      <c r="C730" s="68" t="s">
        <v>265</v>
      </c>
      <c r="D730" s="380" t="s">
        <v>890</v>
      </c>
      <c r="E730" s="99">
        <v>0</v>
      </c>
      <c r="F730" s="99">
        <v>0</v>
      </c>
      <c r="G730" s="58">
        <f t="shared" si="3716"/>
        <v>0</v>
      </c>
      <c r="H730" s="99">
        <v>0</v>
      </c>
      <c r="I730" s="59">
        <f t="shared" si="3007"/>
        <v>0</v>
      </c>
      <c r="J730" s="59">
        <f t="shared" si="2705"/>
        <v>0</v>
      </c>
      <c r="K730" s="74">
        <v>0</v>
      </c>
      <c r="L730" s="117">
        <v>3145.08</v>
      </c>
      <c r="M730" s="74">
        <v>0</v>
      </c>
      <c r="N730" s="74">
        <v>0</v>
      </c>
      <c r="O730" s="61">
        <f t="shared" ref="O730:Q730" si="3742">AA730+AD730+AG730+AJ730+AM730+AP730+AS730+AV730+AY730+BB730+BE730+BH730</f>
        <v>0</v>
      </c>
      <c r="P730" s="61">
        <f t="shared" si="3742"/>
        <v>3145.08</v>
      </c>
      <c r="Q730" s="61">
        <f t="shared" si="3742"/>
        <v>0</v>
      </c>
      <c r="R730" s="61">
        <f t="shared" ref="R730:T730" si="3743">IF(BK730=0,SUM(AA730+AD730+AG730+AJ730+AM730+AP730+AS730+AV730+AY730+BB730+BE730+BH730),BK730)</f>
        <v>0</v>
      </c>
      <c r="S730" s="61">
        <f t="shared" si="3743"/>
        <v>3145.08</v>
      </c>
      <c r="T730" s="61">
        <f t="shared" si="3743"/>
        <v>0</v>
      </c>
      <c r="U730" s="63">
        <f t="shared" si="3719"/>
        <v>0</v>
      </c>
      <c r="V730" s="63">
        <f t="shared" si="3720"/>
        <v>0</v>
      </c>
      <c r="W730" s="208">
        <f t="shared" si="3721"/>
        <v>0</v>
      </c>
      <c r="X730" s="64">
        <f t="shared" ref="X730:Y730" si="3744">IF(O730&gt;0,O730/K730,0)</f>
        <v>0</v>
      </c>
      <c r="Y730" s="64">
        <f t="shared" si="3744"/>
        <v>1</v>
      </c>
      <c r="Z730" s="64">
        <f t="shared" si="3511"/>
        <v>0</v>
      </c>
      <c r="AA730" s="65"/>
      <c r="AB730" s="65"/>
      <c r="AC730" s="65"/>
      <c r="AD730" s="65"/>
      <c r="AE730" s="66">
        <f>3145.08</f>
        <v>3145.08</v>
      </c>
      <c r="AF730" s="66"/>
      <c r="AG730" s="66"/>
      <c r="AH730" s="66"/>
      <c r="AI730" s="65"/>
      <c r="AJ730" s="65"/>
      <c r="AK730" s="65"/>
      <c r="AL730" s="65"/>
      <c r="AM730" s="65"/>
      <c r="AN730" s="65"/>
      <c r="AO730" s="65"/>
      <c r="AP730" s="65"/>
      <c r="AQ730" s="65"/>
      <c r="AR730" s="65"/>
      <c r="AS730" s="65"/>
      <c r="AT730" s="65"/>
      <c r="AU730" s="65"/>
      <c r="AV730" s="65"/>
      <c r="AW730" s="65"/>
      <c r="AX730" s="65"/>
      <c r="AY730" s="65"/>
      <c r="AZ730" s="65"/>
      <c r="BA730" s="65"/>
      <c r="BB730" s="65"/>
      <c r="BC730" s="65"/>
      <c r="BD730" s="65"/>
      <c r="BE730" s="65"/>
      <c r="BF730" s="65"/>
      <c r="BG730" s="65"/>
      <c r="BH730" s="65"/>
      <c r="BI730" s="65"/>
      <c r="BJ730" s="65"/>
      <c r="BK730" s="65">
        <v>0</v>
      </c>
      <c r="BL730" s="65">
        <v>0</v>
      </c>
      <c r="BM730" s="65">
        <v>0</v>
      </c>
      <c r="BN730" s="65">
        <f t="shared" si="3723"/>
        <v>0</v>
      </c>
      <c r="BO730" s="67">
        <f t="shared" si="3724"/>
        <v>0</v>
      </c>
      <c r="BP730" s="65">
        <f t="shared" si="3725"/>
        <v>0</v>
      </c>
      <c r="BQ730" s="65">
        <f t="shared" si="3726"/>
        <v>0</v>
      </c>
      <c r="BR730" s="65">
        <f t="shared" si="3727"/>
        <v>0</v>
      </c>
      <c r="BS730" s="65">
        <f t="shared" si="3728"/>
        <v>0</v>
      </c>
      <c r="BT730" s="65">
        <f t="shared" si="3729"/>
        <v>0</v>
      </c>
      <c r="BU730" s="65">
        <f t="shared" si="3730"/>
        <v>0</v>
      </c>
      <c r="BV730" s="65">
        <f t="shared" si="3731"/>
        <v>0</v>
      </c>
      <c r="BW730" s="65">
        <f t="shared" si="3732"/>
        <v>0</v>
      </c>
      <c r="BX730" s="6"/>
      <c r="BY730" s="6"/>
      <c r="BZ730" s="6"/>
      <c r="CA730" s="6"/>
      <c r="CB730" s="6"/>
      <c r="CC730" s="6"/>
      <c r="CD730" s="6"/>
      <c r="CE730" s="6"/>
      <c r="CF730" s="6"/>
      <c r="CG730" s="6"/>
    </row>
    <row r="731" spans="1:85" ht="15.75" customHeight="1">
      <c r="A731" s="196"/>
      <c r="B731" s="196" t="s">
        <v>887</v>
      </c>
      <c r="C731" s="68" t="s">
        <v>322</v>
      </c>
      <c r="D731" s="380" t="s">
        <v>888</v>
      </c>
      <c r="E731" s="99">
        <v>0</v>
      </c>
      <c r="F731" s="99">
        <v>0</v>
      </c>
      <c r="G731" s="58">
        <f t="shared" si="3716"/>
        <v>0</v>
      </c>
      <c r="H731" s="99">
        <v>0</v>
      </c>
      <c r="I731" s="59">
        <f t="shared" si="3007"/>
        <v>0</v>
      </c>
      <c r="J731" s="59">
        <f t="shared" si="2705"/>
        <v>0</v>
      </c>
      <c r="K731" s="74">
        <v>0</v>
      </c>
      <c r="L731" s="117">
        <v>23806.95</v>
      </c>
      <c r="M731" s="74">
        <v>0</v>
      </c>
      <c r="N731" s="74">
        <v>0</v>
      </c>
      <c r="O731" s="61">
        <f t="shared" ref="O731:Q731" si="3745">AA731+AD731+AG731+AJ731+AM731+AP731+AS731+AV731+AY731+BB731+BE731+BH731</f>
        <v>0</v>
      </c>
      <c r="P731" s="61">
        <f t="shared" si="3745"/>
        <v>23806.95</v>
      </c>
      <c r="Q731" s="61">
        <f t="shared" si="3745"/>
        <v>0</v>
      </c>
      <c r="R731" s="61">
        <f t="shared" ref="R731:T731" si="3746">IF(BK731=0,SUM(AA731+AD731+AG731+AJ731+AM731+AP731+AS731+AV731+AY731+BB731+BE731+BH731),BK731)</f>
        <v>0</v>
      </c>
      <c r="S731" s="61">
        <f t="shared" si="3746"/>
        <v>23806.95</v>
      </c>
      <c r="T731" s="61">
        <f t="shared" si="3746"/>
        <v>0</v>
      </c>
      <c r="U731" s="63">
        <f t="shared" si="3719"/>
        <v>0</v>
      </c>
      <c r="V731" s="63">
        <f t="shared" si="3720"/>
        <v>0</v>
      </c>
      <c r="W731" s="208">
        <f t="shared" si="3721"/>
        <v>0</v>
      </c>
      <c r="X731" s="64">
        <f t="shared" ref="X731:Y731" si="3747">IF(O731&gt;0,O731/K731,0)</f>
        <v>0</v>
      </c>
      <c r="Y731" s="64">
        <f t="shared" si="3747"/>
        <v>1</v>
      </c>
      <c r="Z731" s="64">
        <f t="shared" si="3511"/>
        <v>0</v>
      </c>
      <c r="AA731" s="65"/>
      <c r="AB731" s="65"/>
      <c r="AC731" s="65"/>
      <c r="AD731" s="65"/>
      <c r="AE731" s="66"/>
      <c r="AF731" s="66"/>
      <c r="AG731" s="66"/>
      <c r="AH731" s="113">
        <v>23806.95</v>
      </c>
      <c r="AI731" s="65"/>
      <c r="AJ731" s="65"/>
      <c r="AK731" s="65"/>
      <c r="AL731" s="65"/>
      <c r="AM731" s="65"/>
      <c r="AN731" s="65"/>
      <c r="AO731" s="65"/>
      <c r="AP731" s="65"/>
      <c r="AQ731" s="65"/>
      <c r="AR731" s="65"/>
      <c r="AS731" s="65"/>
      <c r="AT731" s="65"/>
      <c r="AU731" s="65"/>
      <c r="AV731" s="65"/>
      <c r="AW731" s="65"/>
      <c r="AX731" s="65"/>
      <c r="AY731" s="65"/>
      <c r="AZ731" s="65"/>
      <c r="BA731" s="65"/>
      <c r="BB731" s="65"/>
      <c r="BC731" s="65"/>
      <c r="BD731" s="65"/>
      <c r="BE731" s="65"/>
      <c r="BF731" s="65"/>
      <c r="BG731" s="65"/>
      <c r="BH731" s="65"/>
      <c r="BI731" s="65"/>
      <c r="BJ731" s="65"/>
      <c r="BK731" s="65">
        <v>0</v>
      </c>
      <c r="BL731" s="65">
        <v>0</v>
      </c>
      <c r="BM731" s="65">
        <v>0</v>
      </c>
      <c r="BN731" s="65">
        <f t="shared" si="3723"/>
        <v>0</v>
      </c>
      <c r="BO731" s="67">
        <f t="shared" si="3724"/>
        <v>0</v>
      </c>
      <c r="BP731" s="65">
        <f t="shared" si="3725"/>
        <v>0</v>
      </c>
      <c r="BQ731" s="65">
        <f t="shared" si="3726"/>
        <v>0</v>
      </c>
      <c r="BR731" s="65">
        <f t="shared" si="3727"/>
        <v>0</v>
      </c>
      <c r="BS731" s="65">
        <f t="shared" si="3728"/>
        <v>0</v>
      </c>
      <c r="BT731" s="65">
        <f t="shared" si="3729"/>
        <v>0</v>
      </c>
      <c r="BU731" s="65">
        <f t="shared" si="3730"/>
        <v>0</v>
      </c>
      <c r="BV731" s="65">
        <f t="shared" si="3731"/>
        <v>0</v>
      </c>
      <c r="BW731" s="65">
        <f t="shared" si="3732"/>
        <v>0</v>
      </c>
      <c r="BX731" s="6"/>
      <c r="BY731" s="6"/>
      <c r="BZ731" s="6"/>
      <c r="CA731" s="6"/>
      <c r="CB731" s="6"/>
      <c r="CC731" s="6"/>
      <c r="CD731" s="6"/>
      <c r="CE731" s="6"/>
      <c r="CF731" s="6"/>
      <c r="CG731" s="6"/>
    </row>
    <row r="732" spans="1:85" ht="15.75" customHeight="1">
      <c r="A732" s="196"/>
      <c r="B732" s="196" t="s">
        <v>891</v>
      </c>
      <c r="C732" s="68" t="s">
        <v>322</v>
      </c>
      <c r="D732" s="380" t="s">
        <v>892</v>
      </c>
      <c r="E732" s="99">
        <v>0</v>
      </c>
      <c r="F732" s="99">
        <v>0</v>
      </c>
      <c r="G732" s="58">
        <f t="shared" si="3716"/>
        <v>0</v>
      </c>
      <c r="H732" s="99">
        <v>0</v>
      </c>
      <c r="I732" s="59">
        <f t="shared" si="3007"/>
        <v>0</v>
      </c>
      <c r="J732" s="59">
        <f t="shared" si="2705"/>
        <v>0</v>
      </c>
      <c r="K732" s="74">
        <v>0</v>
      </c>
      <c r="L732" s="117">
        <v>3973.4</v>
      </c>
      <c r="M732" s="74">
        <v>0</v>
      </c>
      <c r="N732" s="74">
        <v>0</v>
      </c>
      <c r="O732" s="61">
        <f t="shared" ref="O732:Q732" si="3748">AA732+AD732+AG732+AJ732+AM732+AP732+AS732+AV732+AY732+BB732+BE732+BH732</f>
        <v>0</v>
      </c>
      <c r="P732" s="61">
        <f t="shared" si="3748"/>
        <v>3973.4</v>
      </c>
      <c r="Q732" s="61">
        <f t="shared" si="3748"/>
        <v>0</v>
      </c>
      <c r="R732" s="61">
        <f t="shared" ref="R732:T732" si="3749">IF(BK732=0,SUM(AA732+AD732+AG732+AJ732+AM732+AP732+AS732+AV732+AY732+BB732+BE732+BH732),BK732)</f>
        <v>0</v>
      </c>
      <c r="S732" s="61">
        <f t="shared" si="3749"/>
        <v>3973.4</v>
      </c>
      <c r="T732" s="61">
        <f t="shared" si="3749"/>
        <v>0</v>
      </c>
      <c r="U732" s="63">
        <f t="shared" si="3719"/>
        <v>0</v>
      </c>
      <c r="V732" s="63">
        <f t="shared" si="3720"/>
        <v>0</v>
      </c>
      <c r="W732" s="208">
        <f t="shared" si="3721"/>
        <v>0</v>
      </c>
      <c r="X732" s="64">
        <f t="shared" ref="X732:Y732" si="3750">IF(O732&gt;0,O732/K732,0)</f>
        <v>0</v>
      </c>
      <c r="Y732" s="64">
        <f t="shared" si="3750"/>
        <v>1</v>
      </c>
      <c r="Z732" s="64">
        <f t="shared" si="3511"/>
        <v>0</v>
      </c>
      <c r="AA732" s="65"/>
      <c r="AB732" s="65"/>
      <c r="AC732" s="65"/>
      <c r="AD732" s="65"/>
      <c r="AE732" s="66"/>
      <c r="AF732" s="66"/>
      <c r="AG732" s="66"/>
      <c r="AH732" s="66"/>
      <c r="AI732" s="65"/>
      <c r="AJ732" s="65"/>
      <c r="AK732" s="65"/>
      <c r="AL732" s="65"/>
      <c r="AM732" s="65"/>
      <c r="AN732" s="65">
        <f>3973.4</f>
        <v>3973.4</v>
      </c>
      <c r="AO732" s="65"/>
      <c r="AP732" s="65"/>
      <c r="AQ732" s="65"/>
      <c r="AR732" s="65"/>
      <c r="AS732" s="65"/>
      <c r="AT732" s="65"/>
      <c r="AU732" s="65"/>
      <c r="AV732" s="65"/>
      <c r="AW732" s="65"/>
      <c r="AX732" s="65"/>
      <c r="AY732" s="65"/>
      <c r="AZ732" s="65"/>
      <c r="BA732" s="65"/>
      <c r="BB732" s="65"/>
      <c r="BC732" s="65"/>
      <c r="BD732" s="65"/>
      <c r="BE732" s="65"/>
      <c r="BF732" s="65"/>
      <c r="BG732" s="65"/>
      <c r="BH732" s="65"/>
      <c r="BI732" s="65"/>
      <c r="BJ732" s="65"/>
      <c r="BK732" s="65">
        <v>0</v>
      </c>
      <c r="BL732" s="65">
        <v>0</v>
      </c>
      <c r="BM732" s="65">
        <v>0</v>
      </c>
      <c r="BN732" s="65">
        <f t="shared" si="3723"/>
        <v>0</v>
      </c>
      <c r="BO732" s="67">
        <f t="shared" si="3724"/>
        <v>0</v>
      </c>
      <c r="BP732" s="65">
        <f t="shared" si="3725"/>
        <v>0</v>
      </c>
      <c r="BQ732" s="65">
        <f t="shared" si="3726"/>
        <v>0</v>
      </c>
      <c r="BR732" s="65">
        <f t="shared" si="3727"/>
        <v>0</v>
      </c>
      <c r="BS732" s="65">
        <f t="shared" si="3728"/>
        <v>0</v>
      </c>
      <c r="BT732" s="65">
        <f t="shared" si="3729"/>
        <v>0</v>
      </c>
      <c r="BU732" s="65">
        <f t="shared" si="3730"/>
        <v>0</v>
      </c>
      <c r="BV732" s="65">
        <f t="shared" si="3731"/>
        <v>0</v>
      </c>
      <c r="BW732" s="65">
        <f t="shared" si="3732"/>
        <v>0</v>
      </c>
      <c r="BX732" s="6"/>
      <c r="BY732" s="6"/>
      <c r="BZ732" s="6"/>
      <c r="CA732" s="6"/>
      <c r="CB732" s="6"/>
      <c r="CC732" s="6"/>
      <c r="CD732" s="6"/>
      <c r="CE732" s="6"/>
      <c r="CF732" s="6"/>
      <c r="CG732" s="6"/>
    </row>
    <row r="733" spans="1:85" ht="15.75" customHeight="1">
      <c r="A733" s="196"/>
      <c r="B733" s="196" t="s">
        <v>893</v>
      </c>
      <c r="C733" s="68" t="s">
        <v>894</v>
      </c>
      <c r="D733" s="380" t="s">
        <v>895</v>
      </c>
      <c r="E733" s="99">
        <v>0</v>
      </c>
      <c r="F733" s="99">
        <v>0</v>
      </c>
      <c r="G733" s="58">
        <f t="shared" si="3716"/>
        <v>0</v>
      </c>
      <c r="H733" s="99">
        <v>0</v>
      </c>
      <c r="I733" s="59">
        <f t="shared" si="3007"/>
        <v>0</v>
      </c>
      <c r="J733" s="59">
        <f t="shared" si="2705"/>
        <v>0</v>
      </c>
      <c r="K733" s="74">
        <v>0</v>
      </c>
      <c r="L733" s="117">
        <v>925.65</v>
      </c>
      <c r="M733" s="74">
        <v>0</v>
      </c>
      <c r="N733" s="74">
        <v>0</v>
      </c>
      <c r="O733" s="61">
        <f t="shared" ref="O733:Q733" si="3751">AA733+AD733+AG733+AJ733+AM733+AP733+AS733+AV733+AY733+BB733+BE733+BH733</f>
        <v>0</v>
      </c>
      <c r="P733" s="61">
        <f t="shared" si="3751"/>
        <v>925.65</v>
      </c>
      <c r="Q733" s="61">
        <f t="shared" si="3751"/>
        <v>0</v>
      </c>
      <c r="R733" s="61">
        <f t="shared" ref="R733:T733" si="3752">IF(BK733=0,SUM(AA733+AD733+AG733+AJ733+AM733+AP733+AS733+AV733+AY733+BB733+BE733+BH733),BK733)</f>
        <v>0</v>
      </c>
      <c r="S733" s="61">
        <f t="shared" si="3752"/>
        <v>925.65</v>
      </c>
      <c r="T733" s="61">
        <f t="shared" si="3752"/>
        <v>0</v>
      </c>
      <c r="U733" s="63">
        <f t="shared" si="3719"/>
        <v>0</v>
      </c>
      <c r="V733" s="63">
        <f t="shared" si="3720"/>
        <v>0</v>
      </c>
      <c r="W733" s="208">
        <f t="shared" si="3721"/>
        <v>0</v>
      </c>
      <c r="X733" s="64">
        <f t="shared" ref="X733:Y733" si="3753">IF(O733&gt;0,O733/K733,0)</f>
        <v>0</v>
      </c>
      <c r="Y733" s="64">
        <f t="shared" si="3753"/>
        <v>1</v>
      </c>
      <c r="Z733" s="64">
        <f t="shared" si="3511"/>
        <v>0</v>
      </c>
      <c r="AA733" s="65"/>
      <c r="AB733" s="100">
        <v>925.65</v>
      </c>
      <c r="AC733" s="65"/>
      <c r="AD733" s="65"/>
      <c r="AE733" s="66"/>
      <c r="AF733" s="66"/>
      <c r="AG733" s="66"/>
      <c r="AH733" s="66"/>
      <c r="AI733" s="65"/>
      <c r="AJ733" s="65"/>
      <c r="AK733" s="65"/>
      <c r="AL733" s="65"/>
      <c r="AM733" s="65"/>
      <c r="AN733" s="65"/>
      <c r="AO733" s="65"/>
      <c r="AP733" s="65"/>
      <c r="AQ733" s="65"/>
      <c r="AR733" s="65"/>
      <c r="AS733" s="65"/>
      <c r="AT733" s="65"/>
      <c r="AU733" s="65"/>
      <c r="AV733" s="65"/>
      <c r="AW733" s="65"/>
      <c r="AX733" s="65"/>
      <c r="AY733" s="65"/>
      <c r="AZ733" s="65"/>
      <c r="BA733" s="65"/>
      <c r="BB733" s="65"/>
      <c r="BC733" s="65"/>
      <c r="BD733" s="65"/>
      <c r="BE733" s="65"/>
      <c r="BF733" s="65"/>
      <c r="BG733" s="65"/>
      <c r="BH733" s="65"/>
      <c r="BI733" s="65"/>
      <c r="BJ733" s="65"/>
      <c r="BK733" s="65">
        <v>0</v>
      </c>
      <c r="BL733" s="65">
        <v>0</v>
      </c>
      <c r="BM733" s="65">
        <v>0</v>
      </c>
      <c r="BN733" s="65">
        <f t="shared" si="3723"/>
        <v>0</v>
      </c>
      <c r="BO733" s="67">
        <f t="shared" si="3724"/>
        <v>0</v>
      </c>
      <c r="BP733" s="65">
        <f t="shared" si="3725"/>
        <v>0</v>
      </c>
      <c r="BQ733" s="65">
        <f t="shared" si="3726"/>
        <v>0</v>
      </c>
      <c r="BR733" s="65">
        <f t="shared" si="3727"/>
        <v>0</v>
      </c>
      <c r="BS733" s="65">
        <f t="shared" si="3728"/>
        <v>0</v>
      </c>
      <c r="BT733" s="65">
        <f t="shared" si="3729"/>
        <v>0</v>
      </c>
      <c r="BU733" s="65">
        <f t="shared" si="3730"/>
        <v>0</v>
      </c>
      <c r="BV733" s="65">
        <f t="shared" si="3731"/>
        <v>0</v>
      </c>
      <c r="BW733" s="65">
        <f t="shared" si="3732"/>
        <v>0</v>
      </c>
      <c r="BX733" s="6"/>
      <c r="BY733" s="6"/>
      <c r="BZ733" s="6"/>
      <c r="CA733" s="6"/>
      <c r="CB733" s="6"/>
      <c r="CC733" s="6"/>
      <c r="CD733" s="6"/>
      <c r="CE733" s="6"/>
      <c r="CF733" s="6"/>
      <c r="CG733" s="6"/>
    </row>
    <row r="734" spans="1:85" ht="15.75" customHeight="1">
      <c r="A734" s="196"/>
      <c r="B734" s="196" t="s">
        <v>896</v>
      </c>
      <c r="C734" s="68" t="s">
        <v>894</v>
      </c>
      <c r="D734" s="380" t="s">
        <v>897</v>
      </c>
      <c r="E734" s="99">
        <v>0</v>
      </c>
      <c r="F734" s="99">
        <v>0</v>
      </c>
      <c r="G734" s="58">
        <f t="shared" si="3716"/>
        <v>0</v>
      </c>
      <c r="H734" s="99">
        <v>0</v>
      </c>
      <c r="I734" s="59">
        <f t="shared" si="3007"/>
        <v>0</v>
      </c>
      <c r="J734" s="59">
        <f t="shared" si="2705"/>
        <v>0</v>
      </c>
      <c r="K734" s="74">
        <v>0</v>
      </c>
      <c r="L734" s="117">
        <v>560.27</v>
      </c>
      <c r="M734" s="74">
        <v>0</v>
      </c>
      <c r="N734" s="74">
        <v>0</v>
      </c>
      <c r="O734" s="61">
        <f t="shared" ref="O734:Q734" si="3754">AA734+AD734+AG734+AJ734+AM734+AP734+AS734+AV734+AY734+BB734+BE734+BH734</f>
        <v>0</v>
      </c>
      <c r="P734" s="61">
        <f t="shared" si="3754"/>
        <v>560.27</v>
      </c>
      <c r="Q734" s="61">
        <f t="shared" si="3754"/>
        <v>0</v>
      </c>
      <c r="R734" s="61">
        <f t="shared" ref="R734:T734" si="3755">IF(BK734=0,SUM(AA734+AD734+AG734+AJ734+AM734+AP734+AS734+AV734+AY734+BB734+BE734+BH734),BK734)</f>
        <v>0</v>
      </c>
      <c r="S734" s="61">
        <f t="shared" si="3755"/>
        <v>560.27</v>
      </c>
      <c r="T734" s="61">
        <f t="shared" si="3755"/>
        <v>0</v>
      </c>
      <c r="U734" s="63">
        <f t="shared" si="3719"/>
        <v>0</v>
      </c>
      <c r="V734" s="63">
        <f t="shared" si="3720"/>
        <v>0</v>
      </c>
      <c r="W734" s="208">
        <f t="shared" si="3721"/>
        <v>0</v>
      </c>
      <c r="X734" s="64">
        <f t="shared" ref="X734:Y734" si="3756">IF(O734&gt;0,O734/K734,0)</f>
        <v>0</v>
      </c>
      <c r="Y734" s="64">
        <f t="shared" si="3756"/>
        <v>1</v>
      </c>
      <c r="Z734" s="64">
        <f t="shared" si="3511"/>
        <v>0</v>
      </c>
      <c r="AA734" s="65"/>
      <c r="AB734" s="100">
        <v>560.27</v>
      </c>
      <c r="AC734" s="65"/>
      <c r="AD734" s="65"/>
      <c r="AE734" s="66"/>
      <c r="AF734" s="66"/>
      <c r="AG734" s="66"/>
      <c r="AH734" s="66"/>
      <c r="AI734" s="65"/>
      <c r="AJ734" s="65"/>
      <c r="AK734" s="65"/>
      <c r="AL734" s="65"/>
      <c r="AM734" s="65"/>
      <c r="AN734" s="65"/>
      <c r="AO734" s="65"/>
      <c r="AP734" s="65"/>
      <c r="AQ734" s="65"/>
      <c r="AR734" s="65"/>
      <c r="AS734" s="65"/>
      <c r="AT734" s="65"/>
      <c r="AU734" s="65"/>
      <c r="AV734" s="65"/>
      <c r="AW734" s="65"/>
      <c r="AX734" s="65"/>
      <c r="AY734" s="65"/>
      <c r="AZ734" s="65"/>
      <c r="BA734" s="65"/>
      <c r="BB734" s="65"/>
      <c r="BC734" s="65"/>
      <c r="BD734" s="65"/>
      <c r="BE734" s="65"/>
      <c r="BF734" s="65"/>
      <c r="BG734" s="65"/>
      <c r="BH734" s="65"/>
      <c r="BI734" s="65"/>
      <c r="BJ734" s="65"/>
      <c r="BK734" s="65">
        <v>0</v>
      </c>
      <c r="BL734" s="65">
        <v>0</v>
      </c>
      <c r="BM734" s="65">
        <v>0</v>
      </c>
      <c r="BN734" s="65">
        <f t="shared" si="3723"/>
        <v>0</v>
      </c>
      <c r="BO734" s="67">
        <f t="shared" si="3724"/>
        <v>0</v>
      </c>
      <c r="BP734" s="65">
        <f t="shared" si="3725"/>
        <v>0</v>
      </c>
      <c r="BQ734" s="65">
        <f t="shared" si="3726"/>
        <v>0</v>
      </c>
      <c r="BR734" s="65">
        <f t="shared" si="3727"/>
        <v>0</v>
      </c>
      <c r="BS734" s="65">
        <f t="shared" si="3728"/>
        <v>0</v>
      </c>
      <c r="BT734" s="65">
        <f t="shared" si="3729"/>
        <v>0</v>
      </c>
      <c r="BU734" s="65">
        <f t="shared" si="3730"/>
        <v>0</v>
      </c>
      <c r="BV734" s="65">
        <f t="shared" si="3731"/>
        <v>0</v>
      </c>
      <c r="BW734" s="65">
        <f t="shared" si="3732"/>
        <v>0</v>
      </c>
      <c r="BX734" s="6"/>
      <c r="BY734" s="6"/>
      <c r="BZ734" s="6"/>
      <c r="CA734" s="6"/>
      <c r="CB734" s="6"/>
      <c r="CC734" s="6"/>
      <c r="CD734" s="6"/>
      <c r="CE734" s="6"/>
      <c r="CF734" s="6"/>
      <c r="CG734" s="6"/>
    </row>
    <row r="735" spans="1:85" ht="15.75" customHeight="1">
      <c r="A735" s="196"/>
      <c r="B735" s="196" t="s">
        <v>898</v>
      </c>
      <c r="C735" s="68" t="s">
        <v>894</v>
      </c>
      <c r="D735" s="380" t="s">
        <v>899</v>
      </c>
      <c r="E735" s="99">
        <v>0</v>
      </c>
      <c r="F735" s="99">
        <v>0</v>
      </c>
      <c r="G735" s="58">
        <f t="shared" si="3716"/>
        <v>0</v>
      </c>
      <c r="H735" s="99">
        <v>0</v>
      </c>
      <c r="I735" s="59">
        <f t="shared" si="3007"/>
        <v>0</v>
      </c>
      <c r="J735" s="59">
        <f t="shared" si="2705"/>
        <v>0</v>
      </c>
      <c r="K735" s="74">
        <v>0</v>
      </c>
      <c r="L735" s="117">
        <v>2596.77</v>
      </c>
      <c r="M735" s="74">
        <v>0</v>
      </c>
      <c r="N735" s="74">
        <v>0</v>
      </c>
      <c r="O735" s="61">
        <f t="shared" ref="O735:Q735" si="3757">AA735+AD735+AG735+AJ735+AM735+AP735+AS735+AV735+AY735+BB735+BE735+BH735</f>
        <v>0</v>
      </c>
      <c r="P735" s="61">
        <f t="shared" si="3757"/>
        <v>2596.77</v>
      </c>
      <c r="Q735" s="61">
        <f t="shared" si="3757"/>
        <v>0</v>
      </c>
      <c r="R735" s="61">
        <f t="shared" ref="R735:T735" si="3758">IF(BK735=0,SUM(AA735+AD735+AG735+AJ735+AM735+AP735+AS735+AV735+AY735+BB735+BE735+BH735),BK735)</f>
        <v>0</v>
      </c>
      <c r="S735" s="61">
        <f t="shared" si="3758"/>
        <v>2596.77</v>
      </c>
      <c r="T735" s="61">
        <f t="shared" si="3758"/>
        <v>0</v>
      </c>
      <c r="U735" s="63">
        <f t="shared" si="3719"/>
        <v>0</v>
      </c>
      <c r="V735" s="63">
        <f t="shared" si="3720"/>
        <v>0</v>
      </c>
      <c r="W735" s="208">
        <f t="shared" si="3721"/>
        <v>0</v>
      </c>
      <c r="X735" s="64">
        <f t="shared" ref="X735:Y735" si="3759">IF(O735&gt;0,O735/K735,0)</f>
        <v>0</v>
      </c>
      <c r="Y735" s="64">
        <f t="shared" si="3759"/>
        <v>1</v>
      </c>
      <c r="Z735" s="64">
        <f t="shared" si="3511"/>
        <v>0</v>
      </c>
      <c r="AA735" s="65"/>
      <c r="AB735" s="65"/>
      <c r="AC735" s="65"/>
      <c r="AD735" s="65"/>
      <c r="AE735" s="113">
        <v>2596.77</v>
      </c>
      <c r="AF735" s="66"/>
      <c r="AG735" s="66"/>
      <c r="AH735" s="66"/>
      <c r="AI735" s="65"/>
      <c r="AJ735" s="65"/>
      <c r="AK735" s="65"/>
      <c r="AL735" s="65"/>
      <c r="AM735" s="65"/>
      <c r="AN735" s="65"/>
      <c r="AO735" s="65"/>
      <c r="AP735" s="65"/>
      <c r="AQ735" s="65"/>
      <c r="AR735" s="65"/>
      <c r="AS735" s="65"/>
      <c r="AT735" s="65"/>
      <c r="AU735" s="65"/>
      <c r="AV735" s="65"/>
      <c r="AW735" s="65"/>
      <c r="AX735" s="65"/>
      <c r="AY735" s="65"/>
      <c r="AZ735" s="65"/>
      <c r="BA735" s="65"/>
      <c r="BB735" s="65"/>
      <c r="BC735" s="65"/>
      <c r="BD735" s="65"/>
      <c r="BE735" s="65"/>
      <c r="BF735" s="65"/>
      <c r="BG735" s="65"/>
      <c r="BH735" s="65"/>
      <c r="BI735" s="65"/>
      <c r="BJ735" s="65"/>
      <c r="BK735" s="65">
        <v>0</v>
      </c>
      <c r="BL735" s="65">
        <v>0</v>
      </c>
      <c r="BM735" s="65">
        <v>0</v>
      </c>
      <c r="BN735" s="65">
        <f t="shared" si="3723"/>
        <v>0</v>
      </c>
      <c r="BO735" s="67">
        <f t="shared" si="3724"/>
        <v>0</v>
      </c>
      <c r="BP735" s="65">
        <f t="shared" si="3725"/>
        <v>0</v>
      </c>
      <c r="BQ735" s="65">
        <f t="shared" si="3726"/>
        <v>0</v>
      </c>
      <c r="BR735" s="65">
        <f t="shared" si="3727"/>
        <v>0</v>
      </c>
      <c r="BS735" s="65">
        <f t="shared" si="3728"/>
        <v>0</v>
      </c>
      <c r="BT735" s="65">
        <f t="shared" si="3729"/>
        <v>0</v>
      </c>
      <c r="BU735" s="65">
        <f t="shared" si="3730"/>
        <v>0</v>
      </c>
      <c r="BV735" s="65">
        <f t="shared" si="3731"/>
        <v>0</v>
      </c>
      <c r="BW735" s="65">
        <f t="shared" si="3732"/>
        <v>0</v>
      </c>
      <c r="BX735" s="6"/>
      <c r="BY735" s="6"/>
      <c r="BZ735" s="6"/>
      <c r="CA735" s="6"/>
      <c r="CB735" s="6"/>
      <c r="CC735" s="6"/>
      <c r="CD735" s="6"/>
      <c r="CE735" s="6"/>
      <c r="CF735" s="6"/>
      <c r="CG735" s="6"/>
    </row>
    <row r="736" spans="1:85" ht="15.75" customHeight="1">
      <c r="A736" s="196"/>
      <c r="B736" s="196" t="s">
        <v>900</v>
      </c>
      <c r="C736" s="68" t="s">
        <v>894</v>
      </c>
      <c r="D736" s="380" t="s">
        <v>901</v>
      </c>
      <c r="E736" s="99">
        <v>0</v>
      </c>
      <c r="F736" s="99">
        <v>0</v>
      </c>
      <c r="G736" s="58">
        <f t="shared" si="3716"/>
        <v>0</v>
      </c>
      <c r="H736" s="99">
        <v>0</v>
      </c>
      <c r="I736" s="59">
        <f t="shared" si="3007"/>
        <v>0</v>
      </c>
      <c r="J736" s="59">
        <f t="shared" si="2705"/>
        <v>0</v>
      </c>
      <c r="K736" s="74">
        <v>0</v>
      </c>
      <c r="L736" s="117">
        <v>727.16</v>
      </c>
      <c r="M736" s="74">
        <v>0</v>
      </c>
      <c r="N736" s="74">
        <v>0</v>
      </c>
      <c r="O736" s="61">
        <f t="shared" ref="O736:Q736" si="3760">AA736+AD736+AG736+AJ736+AM736+AP736+AS736+AV736+AY736+BB736+BE736+BH736</f>
        <v>0</v>
      </c>
      <c r="P736" s="61">
        <f t="shared" si="3760"/>
        <v>727.16</v>
      </c>
      <c r="Q736" s="61">
        <f t="shared" si="3760"/>
        <v>0</v>
      </c>
      <c r="R736" s="61">
        <f t="shared" ref="R736:T736" si="3761">IF(BK736=0,SUM(AA736+AD736+AG736+AJ736+AM736+AP736+AS736+AV736+AY736+BB736+BE736+BH736),BK736)</f>
        <v>0</v>
      </c>
      <c r="S736" s="61">
        <f t="shared" si="3761"/>
        <v>727.16</v>
      </c>
      <c r="T736" s="61">
        <f t="shared" si="3761"/>
        <v>0</v>
      </c>
      <c r="U736" s="63">
        <f t="shared" si="3719"/>
        <v>0</v>
      </c>
      <c r="V736" s="63">
        <f t="shared" si="3720"/>
        <v>0</v>
      </c>
      <c r="W736" s="208">
        <f t="shared" si="3721"/>
        <v>0</v>
      </c>
      <c r="X736" s="64">
        <f t="shared" ref="X736:Y736" si="3762">IF(O736&gt;0,O736/K736,0)</f>
        <v>0</v>
      </c>
      <c r="Y736" s="64">
        <f t="shared" si="3762"/>
        <v>1</v>
      </c>
      <c r="Z736" s="64">
        <f t="shared" si="3511"/>
        <v>0</v>
      </c>
      <c r="AA736" s="65"/>
      <c r="AB736" s="100">
        <v>727.16</v>
      </c>
      <c r="AC736" s="65"/>
      <c r="AD736" s="65"/>
      <c r="AE736" s="66"/>
      <c r="AF736" s="66"/>
      <c r="AG736" s="66"/>
      <c r="AH736" s="66"/>
      <c r="AI736" s="65"/>
      <c r="AJ736" s="65"/>
      <c r="AK736" s="65"/>
      <c r="AL736" s="65"/>
      <c r="AM736" s="65"/>
      <c r="AN736" s="65"/>
      <c r="AO736" s="65"/>
      <c r="AP736" s="65"/>
      <c r="AQ736" s="65"/>
      <c r="AR736" s="65"/>
      <c r="AS736" s="65"/>
      <c r="AT736" s="65"/>
      <c r="AU736" s="65"/>
      <c r="AV736" s="65"/>
      <c r="AW736" s="65"/>
      <c r="AX736" s="65"/>
      <c r="AY736" s="65"/>
      <c r="AZ736" s="65"/>
      <c r="BA736" s="65"/>
      <c r="BB736" s="65"/>
      <c r="BC736" s="65"/>
      <c r="BD736" s="65"/>
      <c r="BE736" s="65"/>
      <c r="BF736" s="65"/>
      <c r="BG736" s="65"/>
      <c r="BH736" s="65"/>
      <c r="BI736" s="65"/>
      <c r="BJ736" s="65"/>
      <c r="BK736" s="65">
        <v>0</v>
      </c>
      <c r="BL736" s="65">
        <v>0</v>
      </c>
      <c r="BM736" s="65">
        <v>0</v>
      </c>
      <c r="BN736" s="65">
        <f t="shared" si="3723"/>
        <v>0</v>
      </c>
      <c r="BO736" s="67">
        <f t="shared" si="3724"/>
        <v>0</v>
      </c>
      <c r="BP736" s="65">
        <f t="shared" si="3725"/>
        <v>0</v>
      </c>
      <c r="BQ736" s="65">
        <f t="shared" si="3726"/>
        <v>0</v>
      </c>
      <c r="BR736" s="65">
        <f t="shared" si="3727"/>
        <v>0</v>
      </c>
      <c r="BS736" s="65">
        <f t="shared" si="3728"/>
        <v>0</v>
      </c>
      <c r="BT736" s="65">
        <f t="shared" si="3729"/>
        <v>0</v>
      </c>
      <c r="BU736" s="65">
        <f t="shared" si="3730"/>
        <v>0</v>
      </c>
      <c r="BV736" s="65">
        <f t="shared" si="3731"/>
        <v>0</v>
      </c>
      <c r="BW736" s="65">
        <f t="shared" si="3732"/>
        <v>0</v>
      </c>
      <c r="BX736" s="6"/>
      <c r="BY736" s="6"/>
      <c r="BZ736" s="6"/>
      <c r="CA736" s="6"/>
      <c r="CB736" s="6"/>
      <c r="CC736" s="6"/>
      <c r="CD736" s="6"/>
      <c r="CE736" s="6"/>
      <c r="CF736" s="6"/>
      <c r="CG736" s="6"/>
    </row>
    <row r="737" spans="1:85" ht="15.75" customHeight="1">
      <c r="A737" s="196"/>
      <c r="B737" s="196" t="s">
        <v>902</v>
      </c>
      <c r="C737" s="68" t="s">
        <v>894</v>
      </c>
      <c r="D737" s="380" t="s">
        <v>903</v>
      </c>
      <c r="E737" s="99">
        <v>0</v>
      </c>
      <c r="F737" s="99">
        <v>0</v>
      </c>
      <c r="G737" s="58">
        <f t="shared" si="3716"/>
        <v>0</v>
      </c>
      <c r="H737" s="99">
        <v>0</v>
      </c>
      <c r="I737" s="59">
        <f t="shared" si="3007"/>
        <v>0</v>
      </c>
      <c r="J737" s="59">
        <f t="shared" si="2705"/>
        <v>0</v>
      </c>
      <c r="K737" s="74">
        <v>0</v>
      </c>
      <c r="L737" s="117">
        <v>410</v>
      </c>
      <c r="M737" s="74">
        <v>0</v>
      </c>
      <c r="N737" s="74">
        <v>0</v>
      </c>
      <c r="O737" s="61">
        <f t="shared" ref="O737:Q737" si="3763">AA737+AD737+AG737+AJ737+AM737+AP737+AS737+AV737+AY737+BB737+BE737+BH737</f>
        <v>0</v>
      </c>
      <c r="P737" s="61">
        <f t="shared" si="3763"/>
        <v>0</v>
      </c>
      <c r="Q737" s="61">
        <f t="shared" si="3763"/>
        <v>0</v>
      </c>
      <c r="R737" s="61">
        <f t="shared" ref="R737:T737" si="3764">IF(BK737=0,SUM(AA737+AD737+AG737+AJ737+AM737+AP737+AS737+AV737+AY737+BB737+BE737+BH737),BK737)</f>
        <v>0</v>
      </c>
      <c r="S737" s="61">
        <f t="shared" si="3764"/>
        <v>0</v>
      </c>
      <c r="T737" s="61">
        <f t="shared" si="3764"/>
        <v>0</v>
      </c>
      <c r="U737" s="63">
        <f t="shared" si="3719"/>
        <v>0</v>
      </c>
      <c r="V737" s="62">
        <f t="shared" si="3720"/>
        <v>410</v>
      </c>
      <c r="W737" s="208">
        <f t="shared" si="3721"/>
        <v>0</v>
      </c>
      <c r="X737" s="64">
        <f t="shared" ref="X737:Y737" si="3765">IF(O737&gt;0,O737/K737,0)</f>
        <v>0</v>
      </c>
      <c r="Y737" s="64">
        <f t="shared" si="3765"/>
        <v>0</v>
      </c>
      <c r="Z737" s="64">
        <f t="shared" si="3511"/>
        <v>0</v>
      </c>
      <c r="AA737" s="65"/>
      <c r="AB737" s="65"/>
      <c r="AC737" s="65"/>
      <c r="AD737" s="65"/>
      <c r="AE737" s="113"/>
      <c r="AF737" s="66"/>
      <c r="AG737" s="66"/>
      <c r="AH737" s="66"/>
      <c r="AI737" s="65"/>
      <c r="AJ737" s="65"/>
      <c r="AK737" s="65"/>
      <c r="AL737" s="65"/>
      <c r="AM737" s="65"/>
      <c r="AN737" s="65"/>
      <c r="AO737" s="65"/>
      <c r="AP737" s="65"/>
      <c r="AQ737" s="65"/>
      <c r="AR737" s="65"/>
      <c r="AS737" s="65"/>
      <c r="AT737" s="65"/>
      <c r="AU737" s="65"/>
      <c r="AV737" s="65"/>
      <c r="AW737" s="65"/>
      <c r="AX737" s="65"/>
      <c r="AY737" s="65"/>
      <c r="AZ737" s="65"/>
      <c r="BA737" s="65"/>
      <c r="BB737" s="65"/>
      <c r="BC737" s="65"/>
      <c r="BD737" s="65"/>
      <c r="BE737" s="65"/>
      <c r="BF737" s="65"/>
      <c r="BG737" s="65"/>
      <c r="BH737" s="65"/>
      <c r="BI737" s="65"/>
      <c r="BJ737" s="65"/>
      <c r="BK737" s="65">
        <v>0</v>
      </c>
      <c r="BL737" s="65">
        <v>0</v>
      </c>
      <c r="BM737" s="65">
        <v>0</v>
      </c>
      <c r="BN737" s="65">
        <f t="shared" si="3723"/>
        <v>0</v>
      </c>
      <c r="BO737" s="67">
        <f t="shared" si="3724"/>
        <v>0</v>
      </c>
      <c r="BP737" s="65">
        <f t="shared" si="3725"/>
        <v>0</v>
      </c>
      <c r="BQ737" s="65">
        <f t="shared" si="3726"/>
        <v>0</v>
      </c>
      <c r="BR737" s="65">
        <f t="shared" si="3727"/>
        <v>0</v>
      </c>
      <c r="BS737" s="65">
        <f t="shared" si="3728"/>
        <v>0</v>
      </c>
      <c r="BT737" s="65">
        <f t="shared" si="3729"/>
        <v>410</v>
      </c>
      <c r="BU737" s="65">
        <f t="shared" si="3730"/>
        <v>0</v>
      </c>
      <c r="BV737" s="65">
        <f t="shared" si="3731"/>
        <v>0</v>
      </c>
      <c r="BW737" s="65">
        <f t="shared" si="3732"/>
        <v>410</v>
      </c>
      <c r="BX737" s="6"/>
      <c r="BY737" s="6"/>
      <c r="BZ737" s="6"/>
      <c r="CA737" s="6"/>
      <c r="CB737" s="6"/>
      <c r="CC737" s="6"/>
      <c r="CD737" s="6"/>
      <c r="CE737" s="6"/>
      <c r="CF737" s="6"/>
      <c r="CG737" s="6"/>
    </row>
    <row r="738" spans="1:85" ht="15.75" customHeight="1">
      <c r="A738" s="196"/>
      <c r="B738" s="196" t="s">
        <v>904</v>
      </c>
      <c r="C738" s="68" t="s">
        <v>325</v>
      </c>
      <c r="D738" s="380" t="s">
        <v>905</v>
      </c>
      <c r="E738" s="99">
        <v>0</v>
      </c>
      <c r="F738" s="99">
        <v>0</v>
      </c>
      <c r="G738" s="58">
        <f t="shared" si="3716"/>
        <v>0</v>
      </c>
      <c r="H738" s="99">
        <v>0</v>
      </c>
      <c r="I738" s="59">
        <f t="shared" si="3007"/>
        <v>0</v>
      </c>
      <c r="J738" s="59">
        <f t="shared" si="2705"/>
        <v>0</v>
      </c>
      <c r="K738" s="74">
        <v>0</v>
      </c>
      <c r="L738" s="117">
        <v>73990</v>
      </c>
      <c r="M738" s="74">
        <v>0</v>
      </c>
      <c r="N738" s="74">
        <v>0</v>
      </c>
      <c r="O738" s="61">
        <f t="shared" ref="O738:Q738" si="3766">AA738+AD738+AG738+AJ738+AM738+AP738+AS738+AV738+AY738+BB738+BE738+BH738</f>
        <v>0</v>
      </c>
      <c r="P738" s="61">
        <f t="shared" si="3766"/>
        <v>73990</v>
      </c>
      <c r="Q738" s="61">
        <f t="shared" si="3766"/>
        <v>0</v>
      </c>
      <c r="R738" s="61">
        <f t="shared" ref="R738:T738" si="3767">IF(BK738=0,SUM(AA738+AD738+AG738+AJ738+AM738+AP738+AS738+AV738+AY738+BB738+BE738+BH738),BK738)</f>
        <v>0</v>
      </c>
      <c r="S738" s="61">
        <f t="shared" si="3767"/>
        <v>73990</v>
      </c>
      <c r="T738" s="61">
        <f t="shared" si="3767"/>
        <v>0</v>
      </c>
      <c r="U738" s="63">
        <f t="shared" si="3719"/>
        <v>0</v>
      </c>
      <c r="V738" s="63">
        <f t="shared" si="3720"/>
        <v>0</v>
      </c>
      <c r="W738" s="208">
        <f t="shared" si="3721"/>
        <v>0</v>
      </c>
      <c r="X738" s="64">
        <f t="shared" ref="X738:Y738" si="3768">IF(O738&gt;0,O738/K738,0)</f>
        <v>0</v>
      </c>
      <c r="Y738" s="64">
        <f t="shared" si="3768"/>
        <v>1</v>
      </c>
      <c r="Z738" s="64">
        <f t="shared" si="3511"/>
        <v>0</v>
      </c>
      <c r="AA738" s="65"/>
      <c r="AB738" s="65"/>
      <c r="AC738" s="65"/>
      <c r="AD738" s="65"/>
      <c r="AE738" s="66"/>
      <c r="AF738" s="66"/>
      <c r="AG738" s="66"/>
      <c r="AH738" s="113">
        <v>73990</v>
      </c>
      <c r="AI738" s="65"/>
      <c r="AJ738" s="65"/>
      <c r="AK738" s="65"/>
      <c r="AL738" s="65"/>
      <c r="AM738" s="65"/>
      <c r="AN738" s="65"/>
      <c r="AO738" s="65"/>
      <c r="AP738" s="65"/>
      <c r="AQ738" s="65"/>
      <c r="AR738" s="65"/>
      <c r="AS738" s="65"/>
      <c r="AT738" s="65"/>
      <c r="AU738" s="65"/>
      <c r="AV738" s="65"/>
      <c r="AW738" s="65"/>
      <c r="AX738" s="65"/>
      <c r="AY738" s="65"/>
      <c r="AZ738" s="65"/>
      <c r="BA738" s="65"/>
      <c r="BB738" s="65"/>
      <c r="BC738" s="65"/>
      <c r="BD738" s="65"/>
      <c r="BE738" s="65"/>
      <c r="BF738" s="65"/>
      <c r="BG738" s="65"/>
      <c r="BH738" s="65"/>
      <c r="BI738" s="65"/>
      <c r="BJ738" s="65"/>
      <c r="BK738" s="65">
        <v>0</v>
      </c>
      <c r="BL738" s="65">
        <v>0</v>
      </c>
      <c r="BM738" s="65">
        <v>0</v>
      </c>
      <c r="BN738" s="65">
        <f t="shared" si="3723"/>
        <v>0</v>
      </c>
      <c r="BO738" s="67">
        <f t="shared" si="3724"/>
        <v>0</v>
      </c>
      <c r="BP738" s="65">
        <f t="shared" si="3725"/>
        <v>0</v>
      </c>
      <c r="BQ738" s="65">
        <f t="shared" si="3726"/>
        <v>0</v>
      </c>
      <c r="BR738" s="65">
        <f t="shared" si="3727"/>
        <v>0</v>
      </c>
      <c r="BS738" s="65">
        <f t="shared" si="3728"/>
        <v>0</v>
      </c>
      <c r="BT738" s="65">
        <f t="shared" si="3729"/>
        <v>0</v>
      </c>
      <c r="BU738" s="65">
        <f t="shared" si="3730"/>
        <v>0</v>
      </c>
      <c r="BV738" s="65">
        <f t="shared" si="3731"/>
        <v>0</v>
      </c>
      <c r="BW738" s="65">
        <f t="shared" si="3732"/>
        <v>0</v>
      </c>
      <c r="BX738" s="6"/>
      <c r="BY738" s="6"/>
      <c r="BZ738" s="6"/>
      <c r="CA738" s="6"/>
      <c r="CB738" s="6"/>
      <c r="CC738" s="6"/>
      <c r="CD738" s="6"/>
      <c r="CE738" s="6"/>
      <c r="CF738" s="6"/>
      <c r="CG738" s="6"/>
    </row>
    <row r="739" spans="1:85" ht="15.75" customHeight="1">
      <c r="A739" s="196"/>
      <c r="B739" s="196" t="s">
        <v>906</v>
      </c>
      <c r="C739" s="68" t="s">
        <v>309</v>
      </c>
      <c r="D739" s="380" t="s">
        <v>907</v>
      </c>
      <c r="E739" s="99">
        <v>0</v>
      </c>
      <c r="F739" s="99">
        <v>0</v>
      </c>
      <c r="G739" s="58">
        <f t="shared" si="3716"/>
        <v>0</v>
      </c>
      <c r="H739" s="99">
        <v>0</v>
      </c>
      <c r="I739" s="59">
        <f t="shared" si="3007"/>
        <v>0</v>
      </c>
      <c r="J739" s="59">
        <f t="shared" si="2705"/>
        <v>0</v>
      </c>
      <c r="K739" s="74">
        <v>0</v>
      </c>
      <c r="L739" s="117">
        <v>10679.99</v>
      </c>
      <c r="M739" s="74">
        <v>0</v>
      </c>
      <c r="N739" s="74">
        <v>0</v>
      </c>
      <c r="O739" s="61">
        <f t="shared" ref="O739:Q739" si="3769">AA739+AD739+AG739+AJ739+AM739+AP739+AS739+AV739+AY739+BB739+BE739+BH739</f>
        <v>0</v>
      </c>
      <c r="P739" s="61">
        <f t="shared" si="3769"/>
        <v>10679.99</v>
      </c>
      <c r="Q739" s="61">
        <f t="shared" si="3769"/>
        <v>0</v>
      </c>
      <c r="R739" s="61">
        <f t="shared" ref="R739:T739" si="3770">IF(BK739=0,SUM(AA739+AD739+AG739+AJ739+AM739+AP739+AS739+AV739+AY739+BB739+BE739+BH739),BK739)</f>
        <v>0</v>
      </c>
      <c r="S739" s="61">
        <f t="shared" si="3770"/>
        <v>10679.99</v>
      </c>
      <c r="T739" s="61">
        <f t="shared" si="3770"/>
        <v>0</v>
      </c>
      <c r="U739" s="63">
        <f t="shared" si="3719"/>
        <v>0</v>
      </c>
      <c r="V739" s="63">
        <f t="shared" si="3720"/>
        <v>0</v>
      </c>
      <c r="W739" s="208">
        <f t="shared" si="3721"/>
        <v>0</v>
      </c>
      <c r="X739" s="64">
        <f t="shared" ref="X739:Y739" si="3771">IF(O739&gt;0,O739/K739,0)</f>
        <v>0</v>
      </c>
      <c r="Y739" s="64">
        <f t="shared" si="3771"/>
        <v>1</v>
      </c>
      <c r="Z739" s="64">
        <f t="shared" si="3511"/>
        <v>0</v>
      </c>
      <c r="AA739" s="65"/>
      <c r="AB739" s="100">
        <v>10679.99</v>
      </c>
      <c r="AC739" s="65"/>
      <c r="AD739" s="65"/>
      <c r="AE739" s="66"/>
      <c r="AF739" s="66"/>
      <c r="AG739" s="66"/>
      <c r="AH739" s="66"/>
      <c r="AI739" s="65"/>
      <c r="AJ739" s="65"/>
      <c r="AK739" s="65"/>
      <c r="AL739" s="65"/>
      <c r="AM739" s="65"/>
      <c r="AN739" s="65"/>
      <c r="AO739" s="65"/>
      <c r="AP739" s="65"/>
      <c r="AQ739" s="65"/>
      <c r="AR739" s="65"/>
      <c r="AS739" s="65"/>
      <c r="AT739" s="65"/>
      <c r="AU739" s="65"/>
      <c r="AV739" s="65"/>
      <c r="AW739" s="65"/>
      <c r="AX739" s="65"/>
      <c r="AY739" s="65"/>
      <c r="AZ739" s="65"/>
      <c r="BA739" s="65"/>
      <c r="BB739" s="65"/>
      <c r="BC739" s="65"/>
      <c r="BD739" s="65"/>
      <c r="BE739" s="65"/>
      <c r="BF739" s="65"/>
      <c r="BG739" s="65"/>
      <c r="BH739" s="65"/>
      <c r="BI739" s="65"/>
      <c r="BJ739" s="65"/>
      <c r="BK739" s="65">
        <v>0</v>
      </c>
      <c r="BL739" s="65">
        <v>0</v>
      </c>
      <c r="BM739" s="65">
        <v>0</v>
      </c>
      <c r="BN739" s="65">
        <f t="shared" si="3723"/>
        <v>0</v>
      </c>
      <c r="BO739" s="67">
        <f t="shared" si="3724"/>
        <v>0</v>
      </c>
      <c r="BP739" s="65">
        <f t="shared" si="3725"/>
        <v>0</v>
      </c>
      <c r="BQ739" s="65">
        <f t="shared" si="3726"/>
        <v>0</v>
      </c>
      <c r="BR739" s="65">
        <f t="shared" si="3727"/>
        <v>0</v>
      </c>
      <c r="BS739" s="65">
        <f t="shared" si="3728"/>
        <v>0</v>
      </c>
      <c r="BT739" s="65">
        <f t="shared" si="3729"/>
        <v>0</v>
      </c>
      <c r="BU739" s="65">
        <f t="shared" si="3730"/>
        <v>0</v>
      </c>
      <c r="BV739" s="65">
        <f t="shared" si="3731"/>
        <v>0</v>
      </c>
      <c r="BW739" s="65">
        <f t="shared" si="3732"/>
        <v>0</v>
      </c>
      <c r="BX739" s="6"/>
      <c r="BY739" s="6"/>
      <c r="BZ739" s="6"/>
      <c r="CA739" s="6"/>
      <c r="CB739" s="6"/>
      <c r="CC739" s="6"/>
      <c r="CD739" s="6"/>
      <c r="CE739" s="6"/>
      <c r="CF739" s="6"/>
      <c r="CG739" s="6"/>
    </row>
    <row r="740" spans="1:85" ht="15.75">
      <c r="A740" s="75"/>
      <c r="B740" s="76"/>
      <c r="C740" s="77"/>
      <c r="D740" s="78" t="s">
        <v>400</v>
      </c>
      <c r="E740" s="45">
        <f t="shared" ref="E740:H740" si="3772">SUM(E741:E743)</f>
        <v>0</v>
      </c>
      <c r="F740" s="45">
        <f t="shared" si="3772"/>
        <v>0</v>
      </c>
      <c r="G740" s="45">
        <f t="shared" si="3772"/>
        <v>0</v>
      </c>
      <c r="H740" s="45">
        <f t="shared" si="3772"/>
        <v>0</v>
      </c>
      <c r="I740" s="47">
        <f t="shared" si="3007"/>
        <v>0</v>
      </c>
      <c r="J740" s="47">
        <f t="shared" si="2705"/>
        <v>0</v>
      </c>
      <c r="K740" s="45">
        <f t="shared" ref="K740:W740" si="3773">SUM(K741:K743)</f>
        <v>0</v>
      </c>
      <c r="L740" s="45">
        <f t="shared" si="3773"/>
        <v>194504</v>
      </c>
      <c r="M740" s="45">
        <f t="shared" si="3773"/>
        <v>0</v>
      </c>
      <c r="N740" s="45">
        <f t="shared" si="3773"/>
        <v>0</v>
      </c>
      <c r="O740" s="45">
        <f t="shared" si="3773"/>
        <v>0</v>
      </c>
      <c r="P740" s="45">
        <f t="shared" si="3773"/>
        <v>194504</v>
      </c>
      <c r="Q740" s="45">
        <f t="shared" si="3773"/>
        <v>0</v>
      </c>
      <c r="R740" s="45">
        <f t="shared" si="3773"/>
        <v>0</v>
      </c>
      <c r="S740" s="45">
        <f t="shared" si="3773"/>
        <v>194504</v>
      </c>
      <c r="T740" s="45">
        <f t="shared" si="3773"/>
        <v>0</v>
      </c>
      <c r="U740" s="45">
        <f t="shared" si="3773"/>
        <v>0</v>
      </c>
      <c r="V740" s="45">
        <f t="shared" si="3773"/>
        <v>0</v>
      </c>
      <c r="W740" s="45">
        <f t="shared" si="3773"/>
        <v>0</v>
      </c>
      <c r="X740" s="50">
        <f t="shared" ref="X740:Y740" si="3774">IF(O740&gt;0,O740/K740,0)</f>
        <v>0</v>
      </c>
      <c r="Y740" s="50">
        <f t="shared" si="3774"/>
        <v>1</v>
      </c>
      <c r="Z740" s="50">
        <f t="shared" si="3511"/>
        <v>0</v>
      </c>
      <c r="AA740" s="45">
        <f t="shared" ref="AA740:BW740" si="3775">SUM(AA741:AA743)</f>
        <v>0</v>
      </c>
      <c r="AB740" s="45">
        <f t="shared" si="3775"/>
        <v>79800</v>
      </c>
      <c r="AC740" s="45">
        <f t="shared" si="3775"/>
        <v>0</v>
      </c>
      <c r="AD740" s="45">
        <f t="shared" si="3775"/>
        <v>0</v>
      </c>
      <c r="AE740" s="45">
        <f t="shared" si="3775"/>
        <v>105900</v>
      </c>
      <c r="AF740" s="45">
        <f t="shared" si="3775"/>
        <v>0</v>
      </c>
      <c r="AG740" s="45">
        <f t="shared" si="3775"/>
        <v>0</v>
      </c>
      <c r="AH740" s="45">
        <f t="shared" si="3775"/>
        <v>8804</v>
      </c>
      <c r="AI740" s="45">
        <f t="shared" si="3775"/>
        <v>0</v>
      </c>
      <c r="AJ740" s="45">
        <f t="shared" si="3775"/>
        <v>0</v>
      </c>
      <c r="AK740" s="45">
        <f t="shared" si="3775"/>
        <v>0</v>
      </c>
      <c r="AL740" s="45">
        <f t="shared" si="3775"/>
        <v>0</v>
      </c>
      <c r="AM740" s="45">
        <f t="shared" si="3775"/>
        <v>0</v>
      </c>
      <c r="AN740" s="45">
        <f t="shared" si="3775"/>
        <v>0</v>
      </c>
      <c r="AO740" s="45">
        <f t="shared" si="3775"/>
        <v>0</v>
      </c>
      <c r="AP740" s="45">
        <f t="shared" si="3775"/>
        <v>0</v>
      </c>
      <c r="AQ740" s="45">
        <f t="shared" si="3775"/>
        <v>0</v>
      </c>
      <c r="AR740" s="45">
        <f t="shared" si="3775"/>
        <v>0</v>
      </c>
      <c r="AS740" s="45">
        <f t="shared" si="3775"/>
        <v>0</v>
      </c>
      <c r="AT740" s="45">
        <f t="shared" si="3775"/>
        <v>0</v>
      </c>
      <c r="AU740" s="45">
        <f t="shared" si="3775"/>
        <v>0</v>
      </c>
      <c r="AV740" s="45">
        <f t="shared" si="3775"/>
        <v>0</v>
      </c>
      <c r="AW740" s="45">
        <f t="shared" si="3775"/>
        <v>0</v>
      </c>
      <c r="AX740" s="45">
        <f t="shared" si="3775"/>
        <v>0</v>
      </c>
      <c r="AY740" s="45">
        <f t="shared" si="3775"/>
        <v>0</v>
      </c>
      <c r="AZ740" s="45">
        <f t="shared" si="3775"/>
        <v>0</v>
      </c>
      <c r="BA740" s="45">
        <f t="shared" si="3775"/>
        <v>0</v>
      </c>
      <c r="BB740" s="45">
        <f t="shared" si="3775"/>
        <v>0</v>
      </c>
      <c r="BC740" s="45">
        <f t="shared" si="3775"/>
        <v>0</v>
      </c>
      <c r="BD740" s="45">
        <f t="shared" si="3775"/>
        <v>0</v>
      </c>
      <c r="BE740" s="45">
        <f t="shared" si="3775"/>
        <v>0</v>
      </c>
      <c r="BF740" s="45">
        <f t="shared" si="3775"/>
        <v>0</v>
      </c>
      <c r="BG740" s="45">
        <f t="shared" si="3775"/>
        <v>0</v>
      </c>
      <c r="BH740" s="45">
        <f t="shared" si="3775"/>
        <v>0</v>
      </c>
      <c r="BI740" s="45">
        <f t="shared" si="3775"/>
        <v>0</v>
      </c>
      <c r="BJ740" s="45">
        <f t="shared" si="3775"/>
        <v>0</v>
      </c>
      <c r="BK740" s="45">
        <f t="shared" si="3775"/>
        <v>0</v>
      </c>
      <c r="BL740" s="45">
        <f t="shared" si="3775"/>
        <v>0</v>
      </c>
      <c r="BM740" s="45">
        <f t="shared" si="3775"/>
        <v>0</v>
      </c>
      <c r="BN740" s="45">
        <f t="shared" si="3775"/>
        <v>0</v>
      </c>
      <c r="BO740" s="45">
        <f t="shared" si="3775"/>
        <v>0</v>
      </c>
      <c r="BP740" s="45">
        <f t="shared" si="3775"/>
        <v>0</v>
      </c>
      <c r="BQ740" s="45">
        <f t="shared" si="3775"/>
        <v>0</v>
      </c>
      <c r="BR740" s="45">
        <f t="shared" si="3775"/>
        <v>0</v>
      </c>
      <c r="BS740" s="45">
        <f t="shared" si="3775"/>
        <v>0</v>
      </c>
      <c r="BT740" s="45">
        <f t="shared" si="3775"/>
        <v>0</v>
      </c>
      <c r="BU740" s="45">
        <f t="shared" si="3775"/>
        <v>0</v>
      </c>
      <c r="BV740" s="45">
        <f t="shared" si="3775"/>
        <v>0</v>
      </c>
      <c r="BW740" s="45">
        <f t="shared" si="3775"/>
        <v>0</v>
      </c>
      <c r="BX740" s="51"/>
      <c r="BY740" s="51"/>
      <c r="BZ740" s="51"/>
      <c r="CA740" s="51"/>
      <c r="CB740" s="51"/>
      <c r="CC740" s="51"/>
      <c r="CD740" s="51"/>
      <c r="CE740" s="51"/>
      <c r="CF740" s="51"/>
      <c r="CG740" s="51"/>
    </row>
    <row r="741" spans="1:85" ht="15.75" customHeight="1">
      <c r="A741" s="121"/>
      <c r="B741" s="121" t="s">
        <v>908</v>
      </c>
      <c r="C741" s="68" t="s">
        <v>909</v>
      </c>
      <c r="D741" s="380" t="s">
        <v>910</v>
      </c>
      <c r="E741" s="99">
        <v>0</v>
      </c>
      <c r="F741" s="99">
        <v>0</v>
      </c>
      <c r="G741" s="58">
        <f t="shared" ref="G741:G743" si="3776">E741-F741</f>
        <v>0</v>
      </c>
      <c r="H741" s="99">
        <v>0</v>
      </c>
      <c r="I741" s="59">
        <f t="shared" si="3007"/>
        <v>0</v>
      </c>
      <c r="J741" s="59">
        <f t="shared" si="2705"/>
        <v>0</v>
      </c>
      <c r="K741" s="74">
        <v>0</v>
      </c>
      <c r="L741" s="376">
        <v>8804</v>
      </c>
      <c r="M741" s="376">
        <v>0</v>
      </c>
      <c r="N741" s="74">
        <v>0</v>
      </c>
      <c r="O741" s="61">
        <f t="shared" ref="O741:Q741" si="3777">AA741+AD741+AG741+AJ741+AM741+AP741+AS741+AV741+AY741+BB741+BE741+BH741</f>
        <v>0</v>
      </c>
      <c r="P741" s="61">
        <f t="shared" si="3777"/>
        <v>8804</v>
      </c>
      <c r="Q741" s="61">
        <f t="shared" si="3777"/>
        <v>0</v>
      </c>
      <c r="R741" s="61">
        <f t="shared" ref="R741:T741" si="3778">IF(BK741=0,SUM(AA741+AD741+AG741+AJ741+AM741+AP741+AS741+AV741+AY741+BB741+BE741+BH741),BK741)</f>
        <v>0</v>
      </c>
      <c r="S741" s="61">
        <f t="shared" si="3778"/>
        <v>8804</v>
      </c>
      <c r="T741" s="61">
        <f t="shared" si="3778"/>
        <v>0</v>
      </c>
      <c r="U741" s="63">
        <f t="shared" ref="U741:U743" si="3779">K741-O741</f>
        <v>0</v>
      </c>
      <c r="V741" s="63">
        <f t="shared" ref="V741:V743" si="3780">L741-M741-S741</f>
        <v>0</v>
      </c>
      <c r="W741" s="208">
        <f t="shared" ref="W741:W743" si="3781">N741-Q741</f>
        <v>0</v>
      </c>
      <c r="X741" s="64">
        <f t="shared" ref="X741:Y741" si="3782">IF(O741&gt;0,O741/K741,0)</f>
        <v>0</v>
      </c>
      <c r="Y741" s="64">
        <f t="shared" si="3782"/>
        <v>1</v>
      </c>
      <c r="Z741" s="64">
        <f t="shared" si="3511"/>
        <v>0</v>
      </c>
      <c r="AA741" s="65"/>
      <c r="AB741" s="65"/>
      <c r="AC741" s="65"/>
      <c r="AD741" s="65"/>
      <c r="AE741" s="66"/>
      <c r="AF741" s="66"/>
      <c r="AG741" s="66"/>
      <c r="AH741" s="113">
        <v>8804</v>
      </c>
      <c r="AI741" s="65"/>
      <c r="AJ741" s="65"/>
      <c r="AK741" s="65"/>
      <c r="AL741" s="65"/>
      <c r="AM741" s="65"/>
      <c r="AN741" s="65"/>
      <c r="AO741" s="65"/>
      <c r="AP741" s="65"/>
      <c r="AQ741" s="65"/>
      <c r="AR741" s="65"/>
      <c r="AS741" s="65"/>
      <c r="AT741" s="65"/>
      <c r="AU741" s="65"/>
      <c r="AV741" s="65"/>
      <c r="AW741" s="65"/>
      <c r="AX741" s="65"/>
      <c r="AY741" s="65"/>
      <c r="AZ741" s="65"/>
      <c r="BA741" s="65"/>
      <c r="BB741" s="65"/>
      <c r="BC741" s="65"/>
      <c r="BD741" s="65"/>
      <c r="BE741" s="65"/>
      <c r="BF741" s="65"/>
      <c r="BG741" s="65"/>
      <c r="BH741" s="65"/>
      <c r="BI741" s="65"/>
      <c r="BJ741" s="65"/>
      <c r="BK741" s="65">
        <v>0</v>
      </c>
      <c r="BL741" s="65">
        <v>0</v>
      </c>
      <c r="BM741" s="65">
        <v>0</v>
      </c>
      <c r="BN741" s="65">
        <f t="shared" ref="BN741:BN743" si="3783">IF(O741-BK741&gt;0,O741-BK741,0)</f>
        <v>0</v>
      </c>
      <c r="BO741" s="67">
        <f t="shared" ref="BO741:BO743" si="3784">IF(Q741-BM741&gt;0,Q741-BM741,0)</f>
        <v>0</v>
      </c>
      <c r="BP741" s="65">
        <f t="shared" ref="BP741:BP743" si="3785">IF(BN741+BO741&gt;0,BN741+BO741,0)</f>
        <v>0</v>
      </c>
      <c r="BQ741" s="65">
        <f t="shared" ref="BQ741:BQ743" si="3786">IF(U741=0,0,U741)</f>
        <v>0</v>
      </c>
      <c r="BR741" s="65">
        <f t="shared" ref="BR741:BR743" si="3787">IF(W741=0,0,W741)</f>
        <v>0</v>
      </c>
      <c r="BS741" s="65">
        <f t="shared" ref="BS741:BS743" si="3788">IF(BQ741+BR741&gt;0,BQ741+BR741,0)</f>
        <v>0</v>
      </c>
      <c r="BT741" s="65">
        <f t="shared" ref="BT741:BT743" si="3789">IF(V741&gt;0,V741,0)</f>
        <v>0</v>
      </c>
      <c r="BU741" s="65">
        <f t="shared" ref="BU741:BU743" si="3790">IF(BP741=0,0,BP741)</f>
        <v>0</v>
      </c>
      <c r="BV741" s="65">
        <f t="shared" ref="BV741:BV743" si="3791">IF(BS741=0,0,BS741)</f>
        <v>0</v>
      </c>
      <c r="BW741" s="65">
        <f t="shared" ref="BW741:BW743" si="3792">IF(BP741+BT741+BV741&gt;0,BP741+BT741+BV741,0)</f>
        <v>0</v>
      </c>
      <c r="BX741" s="6"/>
      <c r="BY741" s="6"/>
      <c r="BZ741" s="6"/>
      <c r="CA741" s="6"/>
      <c r="CB741" s="6"/>
      <c r="CC741" s="6"/>
      <c r="CD741" s="6"/>
      <c r="CE741" s="6"/>
      <c r="CF741" s="6"/>
      <c r="CG741" s="6"/>
    </row>
    <row r="742" spans="1:85" ht="15.75" customHeight="1">
      <c r="A742" s="121"/>
      <c r="B742" s="121" t="s">
        <v>911</v>
      </c>
      <c r="C742" s="68" t="s">
        <v>912</v>
      </c>
      <c r="D742" s="380" t="s">
        <v>913</v>
      </c>
      <c r="E742" s="99">
        <v>0</v>
      </c>
      <c r="F742" s="99">
        <v>0</v>
      </c>
      <c r="G742" s="58">
        <f t="shared" si="3776"/>
        <v>0</v>
      </c>
      <c r="H742" s="99">
        <v>0</v>
      </c>
      <c r="I742" s="59">
        <f t="shared" si="3007"/>
        <v>0</v>
      </c>
      <c r="J742" s="59">
        <f t="shared" si="2705"/>
        <v>0</v>
      </c>
      <c r="K742" s="74">
        <v>0</v>
      </c>
      <c r="L742" s="117">
        <v>79800</v>
      </c>
      <c r="M742" s="376">
        <v>0</v>
      </c>
      <c r="N742" s="74">
        <v>0</v>
      </c>
      <c r="O742" s="61">
        <f t="shared" ref="O742:Q742" si="3793">AA742+AD742+AG742+AJ742+AM742+AP742+AS742+AV742+AY742+BB742+BE742+BH742</f>
        <v>0</v>
      </c>
      <c r="P742" s="61">
        <f t="shared" si="3793"/>
        <v>79800</v>
      </c>
      <c r="Q742" s="61">
        <f t="shared" si="3793"/>
        <v>0</v>
      </c>
      <c r="R742" s="61">
        <f t="shared" ref="R742:T742" si="3794">IF(BK742=0,SUM(AA742+AD742+AG742+AJ742+AM742+AP742+AS742+AV742+AY742+BB742+BE742+BH742),BK742)</f>
        <v>0</v>
      </c>
      <c r="S742" s="61">
        <f t="shared" si="3794"/>
        <v>79800</v>
      </c>
      <c r="T742" s="61">
        <f t="shared" si="3794"/>
        <v>0</v>
      </c>
      <c r="U742" s="63">
        <f t="shared" si="3779"/>
        <v>0</v>
      </c>
      <c r="V742" s="63">
        <f t="shared" si="3780"/>
        <v>0</v>
      </c>
      <c r="W742" s="208">
        <f t="shared" si="3781"/>
        <v>0</v>
      </c>
      <c r="X742" s="64">
        <f t="shared" ref="X742:Y742" si="3795">IF(O742&gt;0,O742/K742,0)</f>
        <v>0</v>
      </c>
      <c r="Y742" s="64">
        <f t="shared" si="3795"/>
        <v>1</v>
      </c>
      <c r="Z742" s="64">
        <f t="shared" si="3511"/>
        <v>0</v>
      </c>
      <c r="AA742" s="65"/>
      <c r="AB742" s="65">
        <f>79800</f>
        <v>79800</v>
      </c>
      <c r="AC742" s="65"/>
      <c r="AD742" s="65"/>
      <c r="AE742" s="66"/>
      <c r="AF742" s="66"/>
      <c r="AG742" s="66"/>
      <c r="AH742" s="66"/>
      <c r="AI742" s="65"/>
      <c r="AJ742" s="65"/>
      <c r="AK742" s="65"/>
      <c r="AL742" s="65"/>
      <c r="AM742" s="65"/>
      <c r="AN742" s="65"/>
      <c r="AO742" s="65"/>
      <c r="AP742" s="65"/>
      <c r="AQ742" s="65"/>
      <c r="AR742" s="65"/>
      <c r="AS742" s="65"/>
      <c r="AT742" s="65"/>
      <c r="AU742" s="65"/>
      <c r="AV742" s="65"/>
      <c r="AW742" s="65"/>
      <c r="AX742" s="65"/>
      <c r="AY742" s="65"/>
      <c r="AZ742" s="65"/>
      <c r="BA742" s="65"/>
      <c r="BB742" s="65"/>
      <c r="BC742" s="65"/>
      <c r="BD742" s="65"/>
      <c r="BE742" s="65"/>
      <c r="BF742" s="65"/>
      <c r="BG742" s="65"/>
      <c r="BH742" s="65"/>
      <c r="BI742" s="65"/>
      <c r="BJ742" s="65"/>
      <c r="BK742" s="65">
        <v>0</v>
      </c>
      <c r="BL742" s="65">
        <v>0</v>
      </c>
      <c r="BM742" s="65">
        <v>0</v>
      </c>
      <c r="BN742" s="65">
        <f t="shared" si="3783"/>
        <v>0</v>
      </c>
      <c r="BO742" s="67">
        <f t="shared" si="3784"/>
        <v>0</v>
      </c>
      <c r="BP742" s="65">
        <f t="shared" si="3785"/>
        <v>0</v>
      </c>
      <c r="BQ742" s="65">
        <f t="shared" si="3786"/>
        <v>0</v>
      </c>
      <c r="BR742" s="65">
        <f t="shared" si="3787"/>
        <v>0</v>
      </c>
      <c r="BS742" s="65">
        <f t="shared" si="3788"/>
        <v>0</v>
      </c>
      <c r="BT742" s="65">
        <f t="shared" si="3789"/>
        <v>0</v>
      </c>
      <c r="BU742" s="65">
        <f t="shared" si="3790"/>
        <v>0</v>
      </c>
      <c r="BV742" s="65">
        <f t="shared" si="3791"/>
        <v>0</v>
      </c>
      <c r="BW742" s="65">
        <f t="shared" si="3792"/>
        <v>0</v>
      </c>
      <c r="BX742" s="6"/>
      <c r="BY742" s="6"/>
      <c r="BZ742" s="6"/>
      <c r="CA742" s="6"/>
      <c r="CB742" s="6"/>
      <c r="CC742" s="6"/>
      <c r="CD742" s="6"/>
      <c r="CE742" s="6"/>
      <c r="CF742" s="6"/>
      <c r="CG742" s="6"/>
    </row>
    <row r="743" spans="1:85" ht="15.75" customHeight="1">
      <c r="A743" s="196"/>
      <c r="B743" s="196" t="s">
        <v>914</v>
      </c>
      <c r="C743" s="68" t="s">
        <v>869</v>
      </c>
      <c r="D743" s="380" t="s">
        <v>915</v>
      </c>
      <c r="E743" s="99">
        <v>0</v>
      </c>
      <c r="F743" s="99">
        <v>0</v>
      </c>
      <c r="G743" s="58">
        <f t="shared" si="3776"/>
        <v>0</v>
      </c>
      <c r="H743" s="99">
        <v>0</v>
      </c>
      <c r="I743" s="59">
        <f t="shared" si="3007"/>
        <v>0</v>
      </c>
      <c r="J743" s="59">
        <f t="shared" si="2705"/>
        <v>0</v>
      </c>
      <c r="K743" s="74">
        <v>0</v>
      </c>
      <c r="L743" s="117">
        <v>105900</v>
      </c>
      <c r="M743" s="376">
        <v>0</v>
      </c>
      <c r="N743" s="74">
        <v>0</v>
      </c>
      <c r="O743" s="61">
        <f t="shared" ref="O743:Q743" si="3796">AA743+AD743+AG743+AJ743+AM743+AP743+AS743+AV743+AY743+BB743+BE743+BH743</f>
        <v>0</v>
      </c>
      <c r="P743" s="61">
        <f t="shared" si="3796"/>
        <v>105900</v>
      </c>
      <c r="Q743" s="61">
        <f t="shared" si="3796"/>
        <v>0</v>
      </c>
      <c r="R743" s="61">
        <f t="shared" ref="R743:T743" si="3797">IF(BK743=0,SUM(AA743+AD743+AG743+AJ743+AM743+AP743+AS743+AV743+AY743+BB743+BE743+BH743),BK743)</f>
        <v>0</v>
      </c>
      <c r="S743" s="61">
        <f t="shared" si="3797"/>
        <v>105900</v>
      </c>
      <c r="T743" s="61">
        <f t="shared" si="3797"/>
        <v>0</v>
      </c>
      <c r="U743" s="63">
        <f t="shared" si="3779"/>
        <v>0</v>
      </c>
      <c r="V743" s="63">
        <f t="shared" si="3780"/>
        <v>0</v>
      </c>
      <c r="W743" s="208">
        <f t="shared" si="3781"/>
        <v>0</v>
      </c>
      <c r="X743" s="64">
        <f t="shared" ref="X743:Y743" si="3798">IF(O743&gt;0,O743/K743,0)</f>
        <v>0</v>
      </c>
      <c r="Y743" s="64">
        <f t="shared" si="3798"/>
        <v>1</v>
      </c>
      <c r="Z743" s="64">
        <f t="shared" si="3511"/>
        <v>0</v>
      </c>
      <c r="AA743" s="65"/>
      <c r="AB743" s="65"/>
      <c r="AC743" s="65"/>
      <c r="AD743" s="65"/>
      <c r="AE743" s="113">
        <v>105900</v>
      </c>
      <c r="AF743" s="66"/>
      <c r="AG743" s="66"/>
      <c r="AH743" s="66"/>
      <c r="AI743" s="65"/>
      <c r="AJ743" s="65"/>
      <c r="AK743" s="65"/>
      <c r="AL743" s="65"/>
      <c r="AM743" s="65"/>
      <c r="AN743" s="65"/>
      <c r="AO743" s="65"/>
      <c r="AP743" s="65"/>
      <c r="AQ743" s="65"/>
      <c r="AR743" s="65"/>
      <c r="AS743" s="65"/>
      <c r="AT743" s="65"/>
      <c r="AU743" s="65"/>
      <c r="AV743" s="65"/>
      <c r="AW743" s="65"/>
      <c r="AX743" s="65"/>
      <c r="AY743" s="65"/>
      <c r="AZ743" s="65"/>
      <c r="BA743" s="65"/>
      <c r="BB743" s="65"/>
      <c r="BC743" s="65"/>
      <c r="BD743" s="65"/>
      <c r="BE743" s="65"/>
      <c r="BF743" s="65"/>
      <c r="BG743" s="65"/>
      <c r="BH743" s="65"/>
      <c r="BI743" s="65"/>
      <c r="BJ743" s="65"/>
      <c r="BK743" s="65">
        <v>0</v>
      </c>
      <c r="BL743" s="65">
        <v>0</v>
      </c>
      <c r="BM743" s="65">
        <v>0</v>
      </c>
      <c r="BN743" s="65">
        <f t="shared" si="3783"/>
        <v>0</v>
      </c>
      <c r="BO743" s="67">
        <f t="shared" si="3784"/>
        <v>0</v>
      </c>
      <c r="BP743" s="65">
        <f t="shared" si="3785"/>
        <v>0</v>
      </c>
      <c r="BQ743" s="65">
        <f t="shared" si="3786"/>
        <v>0</v>
      </c>
      <c r="BR743" s="65">
        <f t="shared" si="3787"/>
        <v>0</v>
      </c>
      <c r="BS743" s="65">
        <f t="shared" si="3788"/>
        <v>0</v>
      </c>
      <c r="BT743" s="65">
        <f t="shared" si="3789"/>
        <v>0</v>
      </c>
      <c r="BU743" s="65">
        <f t="shared" si="3790"/>
        <v>0</v>
      </c>
      <c r="BV743" s="65">
        <f t="shared" si="3791"/>
        <v>0</v>
      </c>
      <c r="BW743" s="65">
        <f t="shared" si="3792"/>
        <v>0</v>
      </c>
      <c r="BX743" s="6"/>
      <c r="BY743" s="6"/>
      <c r="BZ743" s="6"/>
      <c r="CA743" s="6"/>
      <c r="CB743" s="6"/>
      <c r="CC743" s="6"/>
      <c r="CD743" s="6"/>
      <c r="CE743" s="6"/>
      <c r="CF743" s="6"/>
      <c r="CG743" s="6"/>
    </row>
    <row r="744" spans="1:85" ht="15.75">
      <c r="A744" s="75"/>
      <c r="B744" s="76"/>
      <c r="C744" s="77"/>
      <c r="D744" s="78" t="s">
        <v>294</v>
      </c>
      <c r="E744" s="45">
        <f t="shared" ref="E744:H744" si="3799">SUM(E745+E757+E759)</f>
        <v>0</v>
      </c>
      <c r="F744" s="45">
        <f t="shared" si="3799"/>
        <v>0</v>
      </c>
      <c r="G744" s="45">
        <f t="shared" si="3799"/>
        <v>0</v>
      </c>
      <c r="H744" s="45">
        <f t="shared" si="3799"/>
        <v>172000</v>
      </c>
      <c r="I744" s="47">
        <f t="shared" si="3007"/>
        <v>0</v>
      </c>
      <c r="J744" s="47">
        <f t="shared" si="2705"/>
        <v>0</v>
      </c>
      <c r="K744" s="45">
        <f t="shared" ref="K744:W744" si="3800">SUM(K745+K757+K759)</f>
        <v>0</v>
      </c>
      <c r="L744" s="45">
        <f t="shared" si="3800"/>
        <v>81528.179999999993</v>
      </c>
      <c r="M744" s="45">
        <f t="shared" si="3800"/>
        <v>0</v>
      </c>
      <c r="N744" s="45">
        <f t="shared" si="3800"/>
        <v>0</v>
      </c>
      <c r="O744" s="45">
        <f t="shared" si="3800"/>
        <v>0</v>
      </c>
      <c r="P744" s="45">
        <f t="shared" si="3800"/>
        <v>81528.179999999993</v>
      </c>
      <c r="Q744" s="45">
        <f t="shared" si="3800"/>
        <v>0</v>
      </c>
      <c r="R744" s="45">
        <f t="shared" si="3800"/>
        <v>0</v>
      </c>
      <c r="S744" s="45">
        <f t="shared" si="3800"/>
        <v>81528.179999999993</v>
      </c>
      <c r="T744" s="45">
        <f t="shared" si="3800"/>
        <v>0</v>
      </c>
      <c r="U744" s="45">
        <f t="shared" si="3800"/>
        <v>0</v>
      </c>
      <c r="V744" s="45">
        <f t="shared" si="3800"/>
        <v>0</v>
      </c>
      <c r="W744" s="45">
        <f t="shared" si="3800"/>
        <v>0</v>
      </c>
      <c r="X744" s="50">
        <f t="shared" ref="X744:Y744" si="3801">IF(O744&gt;0,O744/K744,0)</f>
        <v>0</v>
      </c>
      <c r="Y744" s="50">
        <f t="shared" si="3801"/>
        <v>1</v>
      </c>
      <c r="Z744" s="50">
        <f t="shared" si="3511"/>
        <v>0</v>
      </c>
      <c r="AA744" s="45">
        <f t="shared" ref="AA744:BW744" si="3802">SUM(AA745+AA757+AA759)</f>
        <v>0</v>
      </c>
      <c r="AB744" s="45">
        <f t="shared" si="3802"/>
        <v>3711.2</v>
      </c>
      <c r="AC744" s="45">
        <f t="shared" si="3802"/>
        <v>0</v>
      </c>
      <c r="AD744" s="45">
        <f t="shared" si="3802"/>
        <v>0</v>
      </c>
      <c r="AE744" s="45">
        <f t="shared" si="3802"/>
        <v>76584.98</v>
      </c>
      <c r="AF744" s="45">
        <f t="shared" si="3802"/>
        <v>0</v>
      </c>
      <c r="AG744" s="45">
        <f t="shared" si="3802"/>
        <v>0</v>
      </c>
      <c r="AH744" s="45">
        <f t="shared" si="3802"/>
        <v>1232</v>
      </c>
      <c r="AI744" s="45">
        <f t="shared" si="3802"/>
        <v>0</v>
      </c>
      <c r="AJ744" s="45">
        <f t="shared" si="3802"/>
        <v>0</v>
      </c>
      <c r="AK744" s="45">
        <f t="shared" si="3802"/>
        <v>0</v>
      </c>
      <c r="AL744" s="45">
        <f t="shared" si="3802"/>
        <v>0</v>
      </c>
      <c r="AM744" s="45">
        <f t="shared" si="3802"/>
        <v>0</v>
      </c>
      <c r="AN744" s="45">
        <f t="shared" si="3802"/>
        <v>0</v>
      </c>
      <c r="AO744" s="45">
        <f t="shared" si="3802"/>
        <v>0</v>
      </c>
      <c r="AP744" s="45">
        <f t="shared" si="3802"/>
        <v>0</v>
      </c>
      <c r="AQ744" s="45">
        <f t="shared" si="3802"/>
        <v>0</v>
      </c>
      <c r="AR744" s="45">
        <f t="shared" si="3802"/>
        <v>0</v>
      </c>
      <c r="AS744" s="45">
        <f t="shared" si="3802"/>
        <v>0</v>
      </c>
      <c r="AT744" s="45">
        <f t="shared" si="3802"/>
        <v>0</v>
      </c>
      <c r="AU744" s="45">
        <f t="shared" si="3802"/>
        <v>0</v>
      </c>
      <c r="AV744" s="45">
        <f t="shared" si="3802"/>
        <v>0</v>
      </c>
      <c r="AW744" s="45">
        <f t="shared" si="3802"/>
        <v>0</v>
      </c>
      <c r="AX744" s="45">
        <f t="shared" si="3802"/>
        <v>0</v>
      </c>
      <c r="AY744" s="45">
        <f t="shared" si="3802"/>
        <v>0</v>
      </c>
      <c r="AZ744" s="45">
        <f t="shared" si="3802"/>
        <v>0</v>
      </c>
      <c r="BA744" s="45">
        <f t="shared" si="3802"/>
        <v>0</v>
      </c>
      <c r="BB744" s="45">
        <f t="shared" si="3802"/>
        <v>0</v>
      </c>
      <c r="BC744" s="45">
        <f t="shared" si="3802"/>
        <v>0</v>
      </c>
      <c r="BD744" s="45">
        <f t="shared" si="3802"/>
        <v>0</v>
      </c>
      <c r="BE744" s="45">
        <f t="shared" si="3802"/>
        <v>0</v>
      </c>
      <c r="BF744" s="45">
        <f t="shared" si="3802"/>
        <v>0</v>
      </c>
      <c r="BG744" s="45">
        <f t="shared" si="3802"/>
        <v>0</v>
      </c>
      <c r="BH744" s="45">
        <f t="shared" si="3802"/>
        <v>0</v>
      </c>
      <c r="BI744" s="45">
        <f t="shared" si="3802"/>
        <v>0</v>
      </c>
      <c r="BJ744" s="45">
        <f t="shared" si="3802"/>
        <v>0</v>
      </c>
      <c r="BK744" s="45">
        <f t="shared" si="3802"/>
        <v>0</v>
      </c>
      <c r="BL744" s="45">
        <f t="shared" si="3802"/>
        <v>0</v>
      </c>
      <c r="BM744" s="45">
        <f t="shared" si="3802"/>
        <v>0</v>
      </c>
      <c r="BN744" s="45">
        <f t="shared" si="3802"/>
        <v>0</v>
      </c>
      <c r="BO744" s="45">
        <f t="shared" si="3802"/>
        <v>0</v>
      </c>
      <c r="BP744" s="45">
        <f t="shared" si="3802"/>
        <v>0</v>
      </c>
      <c r="BQ744" s="45">
        <f t="shared" si="3802"/>
        <v>0</v>
      </c>
      <c r="BR744" s="45">
        <f t="shared" si="3802"/>
        <v>0</v>
      </c>
      <c r="BS744" s="45">
        <f t="shared" si="3802"/>
        <v>0</v>
      </c>
      <c r="BT744" s="45">
        <f t="shared" si="3802"/>
        <v>0</v>
      </c>
      <c r="BU744" s="45">
        <f t="shared" si="3802"/>
        <v>0</v>
      </c>
      <c r="BV744" s="45">
        <f t="shared" si="3802"/>
        <v>0</v>
      </c>
      <c r="BW744" s="45">
        <f t="shared" si="3802"/>
        <v>0</v>
      </c>
      <c r="BX744" s="51"/>
      <c r="BY744" s="51"/>
      <c r="BZ744" s="51"/>
      <c r="CA744" s="51"/>
      <c r="CB744" s="51"/>
      <c r="CC744" s="51"/>
      <c r="CD744" s="51"/>
      <c r="CE744" s="51"/>
      <c r="CF744" s="51"/>
      <c r="CG744" s="51"/>
    </row>
    <row r="745" spans="1:85" ht="15.75">
      <c r="A745" s="217"/>
      <c r="B745" s="218"/>
      <c r="C745" s="219"/>
      <c r="D745" s="220" t="s">
        <v>83</v>
      </c>
      <c r="E745" s="213">
        <f t="shared" ref="E745:H745" si="3803">SUM(E746:E756)</f>
        <v>0</v>
      </c>
      <c r="F745" s="213">
        <f t="shared" si="3803"/>
        <v>0</v>
      </c>
      <c r="G745" s="213">
        <f t="shared" si="3803"/>
        <v>0</v>
      </c>
      <c r="H745" s="213">
        <f t="shared" si="3803"/>
        <v>172000</v>
      </c>
      <c r="I745" s="215">
        <f t="shared" si="3007"/>
        <v>0</v>
      </c>
      <c r="J745" s="215">
        <f t="shared" si="2705"/>
        <v>0</v>
      </c>
      <c r="K745" s="213">
        <f t="shared" ref="K745:W745" si="3804">SUM(K746:K756)</f>
        <v>0</v>
      </c>
      <c r="L745" s="213">
        <f t="shared" si="3804"/>
        <v>68978.7</v>
      </c>
      <c r="M745" s="213">
        <f t="shared" si="3804"/>
        <v>0</v>
      </c>
      <c r="N745" s="213">
        <f t="shared" si="3804"/>
        <v>0</v>
      </c>
      <c r="O745" s="213">
        <f t="shared" si="3804"/>
        <v>0</v>
      </c>
      <c r="P745" s="213">
        <f t="shared" si="3804"/>
        <v>68978.7</v>
      </c>
      <c r="Q745" s="213">
        <f t="shared" si="3804"/>
        <v>0</v>
      </c>
      <c r="R745" s="213">
        <f t="shared" si="3804"/>
        <v>0</v>
      </c>
      <c r="S745" s="213">
        <f t="shared" si="3804"/>
        <v>68978.7</v>
      </c>
      <c r="T745" s="213">
        <f t="shared" si="3804"/>
        <v>0</v>
      </c>
      <c r="U745" s="213">
        <f t="shared" si="3804"/>
        <v>0</v>
      </c>
      <c r="V745" s="213">
        <f t="shared" si="3804"/>
        <v>0</v>
      </c>
      <c r="W745" s="213">
        <f t="shared" si="3804"/>
        <v>0</v>
      </c>
      <c r="X745" s="216">
        <f t="shared" ref="X745:Y745" si="3805">IF(O745&gt;0,O745/K745,0)</f>
        <v>0</v>
      </c>
      <c r="Y745" s="216">
        <f t="shared" si="3805"/>
        <v>1</v>
      </c>
      <c r="Z745" s="216">
        <f t="shared" si="3511"/>
        <v>0</v>
      </c>
      <c r="AA745" s="213">
        <f t="shared" ref="AA745:BW745" si="3806">SUM(AA746:AA756)</f>
        <v>0</v>
      </c>
      <c r="AB745" s="213">
        <f t="shared" si="3806"/>
        <v>3711.2</v>
      </c>
      <c r="AC745" s="213">
        <f t="shared" si="3806"/>
        <v>0</v>
      </c>
      <c r="AD745" s="213">
        <f t="shared" si="3806"/>
        <v>0</v>
      </c>
      <c r="AE745" s="213">
        <f t="shared" si="3806"/>
        <v>64035.5</v>
      </c>
      <c r="AF745" s="213">
        <f t="shared" si="3806"/>
        <v>0</v>
      </c>
      <c r="AG745" s="213">
        <f t="shared" si="3806"/>
        <v>0</v>
      </c>
      <c r="AH745" s="213">
        <f t="shared" si="3806"/>
        <v>1232</v>
      </c>
      <c r="AI745" s="213">
        <f t="shared" si="3806"/>
        <v>0</v>
      </c>
      <c r="AJ745" s="213">
        <f t="shared" si="3806"/>
        <v>0</v>
      </c>
      <c r="AK745" s="213">
        <f t="shared" si="3806"/>
        <v>0</v>
      </c>
      <c r="AL745" s="213">
        <f t="shared" si="3806"/>
        <v>0</v>
      </c>
      <c r="AM745" s="213">
        <f t="shared" si="3806"/>
        <v>0</v>
      </c>
      <c r="AN745" s="213">
        <f t="shared" si="3806"/>
        <v>0</v>
      </c>
      <c r="AO745" s="213">
        <f t="shared" si="3806"/>
        <v>0</v>
      </c>
      <c r="AP745" s="213">
        <f t="shared" si="3806"/>
        <v>0</v>
      </c>
      <c r="AQ745" s="213">
        <f t="shared" si="3806"/>
        <v>0</v>
      </c>
      <c r="AR745" s="213">
        <f t="shared" si="3806"/>
        <v>0</v>
      </c>
      <c r="AS745" s="213">
        <f t="shared" si="3806"/>
        <v>0</v>
      </c>
      <c r="AT745" s="213">
        <f t="shared" si="3806"/>
        <v>0</v>
      </c>
      <c r="AU745" s="213">
        <f t="shared" si="3806"/>
        <v>0</v>
      </c>
      <c r="AV745" s="213">
        <f t="shared" si="3806"/>
        <v>0</v>
      </c>
      <c r="AW745" s="213">
        <f t="shared" si="3806"/>
        <v>0</v>
      </c>
      <c r="AX745" s="213">
        <f t="shared" si="3806"/>
        <v>0</v>
      </c>
      <c r="AY745" s="213">
        <f t="shared" si="3806"/>
        <v>0</v>
      </c>
      <c r="AZ745" s="213">
        <f t="shared" si="3806"/>
        <v>0</v>
      </c>
      <c r="BA745" s="213">
        <f t="shared" si="3806"/>
        <v>0</v>
      </c>
      <c r="BB745" s="213">
        <f t="shared" si="3806"/>
        <v>0</v>
      </c>
      <c r="BC745" s="213">
        <f t="shared" si="3806"/>
        <v>0</v>
      </c>
      <c r="BD745" s="213">
        <f t="shared" si="3806"/>
        <v>0</v>
      </c>
      <c r="BE745" s="213">
        <f t="shared" si="3806"/>
        <v>0</v>
      </c>
      <c r="BF745" s="213">
        <f t="shared" si="3806"/>
        <v>0</v>
      </c>
      <c r="BG745" s="213">
        <f t="shared" si="3806"/>
        <v>0</v>
      </c>
      <c r="BH745" s="213">
        <f t="shared" si="3806"/>
        <v>0</v>
      </c>
      <c r="BI745" s="213">
        <f t="shared" si="3806"/>
        <v>0</v>
      </c>
      <c r="BJ745" s="213">
        <f t="shared" si="3806"/>
        <v>0</v>
      </c>
      <c r="BK745" s="213">
        <f t="shared" si="3806"/>
        <v>0</v>
      </c>
      <c r="BL745" s="213">
        <f t="shared" si="3806"/>
        <v>0</v>
      </c>
      <c r="BM745" s="213">
        <f t="shared" si="3806"/>
        <v>0</v>
      </c>
      <c r="BN745" s="213">
        <f t="shared" si="3806"/>
        <v>0</v>
      </c>
      <c r="BO745" s="213">
        <f t="shared" si="3806"/>
        <v>0</v>
      </c>
      <c r="BP745" s="213">
        <f t="shared" si="3806"/>
        <v>0</v>
      </c>
      <c r="BQ745" s="213">
        <f t="shared" si="3806"/>
        <v>0</v>
      </c>
      <c r="BR745" s="213">
        <f t="shared" si="3806"/>
        <v>0</v>
      </c>
      <c r="BS745" s="213">
        <f t="shared" si="3806"/>
        <v>0</v>
      </c>
      <c r="BT745" s="213">
        <f t="shared" si="3806"/>
        <v>0</v>
      </c>
      <c r="BU745" s="213">
        <f t="shared" si="3806"/>
        <v>0</v>
      </c>
      <c r="BV745" s="213">
        <f t="shared" si="3806"/>
        <v>0</v>
      </c>
      <c r="BW745" s="213">
        <f t="shared" si="3806"/>
        <v>0</v>
      </c>
      <c r="BX745" s="51"/>
      <c r="BY745" s="51"/>
      <c r="BZ745" s="51"/>
      <c r="CA745" s="51"/>
      <c r="CB745" s="51"/>
      <c r="CC745" s="51"/>
      <c r="CD745" s="51"/>
      <c r="CE745" s="51"/>
      <c r="CF745" s="51"/>
      <c r="CG745" s="51"/>
    </row>
    <row r="746" spans="1:85" ht="15.75" customHeight="1">
      <c r="A746" s="54"/>
      <c r="B746" s="54" t="s">
        <v>916</v>
      </c>
      <c r="C746" s="68" t="s">
        <v>535</v>
      </c>
      <c r="D746" s="122" t="s">
        <v>917</v>
      </c>
      <c r="E746" s="99">
        <v>0</v>
      </c>
      <c r="F746" s="99">
        <v>0</v>
      </c>
      <c r="G746" s="58">
        <f t="shared" ref="G746:G756" si="3807">E746-F746</f>
        <v>0</v>
      </c>
      <c r="H746" s="56">
        <v>172000</v>
      </c>
      <c r="I746" s="59">
        <f t="shared" si="3007"/>
        <v>0</v>
      </c>
      <c r="J746" s="59">
        <f t="shared" si="2705"/>
        <v>0</v>
      </c>
      <c r="K746" s="74">
        <v>0</v>
      </c>
      <c r="L746" s="376">
        <v>1232</v>
      </c>
      <c r="M746" s="74">
        <v>0</v>
      </c>
      <c r="N746" s="74">
        <v>0</v>
      </c>
      <c r="O746" s="61">
        <f t="shared" ref="O746:Q746" si="3808">AA746+AD746+AG746+AJ746+AM746+AP746+AS746+AV746+AY746+BB746+BE746+BH746</f>
        <v>0</v>
      </c>
      <c r="P746" s="61">
        <f t="shared" si="3808"/>
        <v>1232</v>
      </c>
      <c r="Q746" s="61">
        <f t="shared" si="3808"/>
        <v>0</v>
      </c>
      <c r="R746" s="61">
        <f t="shared" ref="R746:T746" si="3809">IF(BK746=0,SUM(AA746+AD746+AG746+AJ746+AM746+AP746+AS746+AV746+AY746+BB746+BE746+BH746),BK746)</f>
        <v>0</v>
      </c>
      <c r="S746" s="61">
        <f t="shared" si="3809"/>
        <v>1232</v>
      </c>
      <c r="T746" s="61">
        <f t="shared" si="3809"/>
        <v>0</v>
      </c>
      <c r="U746" s="63">
        <f t="shared" ref="U746:U756" si="3810">K746-O746</f>
        <v>0</v>
      </c>
      <c r="V746" s="63">
        <f t="shared" ref="V746:V756" si="3811">L746-M746-S746</f>
        <v>0</v>
      </c>
      <c r="W746" s="208">
        <f t="shared" ref="W746:W756" si="3812">N746-Q746</f>
        <v>0</v>
      </c>
      <c r="X746" s="64">
        <f t="shared" ref="X746:Y746" si="3813">IF(O746&gt;0,O746/K746,0)</f>
        <v>0</v>
      </c>
      <c r="Y746" s="64">
        <f t="shared" si="3813"/>
        <v>1</v>
      </c>
      <c r="Z746" s="64">
        <f t="shared" si="3511"/>
        <v>0</v>
      </c>
      <c r="AA746" s="65"/>
      <c r="AB746" s="65"/>
      <c r="AC746" s="65"/>
      <c r="AD746" s="65"/>
      <c r="AE746" s="66"/>
      <c r="AF746" s="66"/>
      <c r="AG746" s="66"/>
      <c r="AH746" s="113">
        <v>1232</v>
      </c>
      <c r="AI746" s="65"/>
      <c r="AJ746" s="65"/>
      <c r="AK746" s="65"/>
      <c r="AL746" s="65"/>
      <c r="AM746" s="65"/>
      <c r="AN746" s="65"/>
      <c r="AO746" s="65"/>
      <c r="AP746" s="65"/>
      <c r="AQ746" s="65"/>
      <c r="AR746" s="65"/>
      <c r="AS746" s="65"/>
      <c r="AT746" s="65"/>
      <c r="AU746" s="65"/>
      <c r="AV746" s="65"/>
      <c r="AW746" s="65"/>
      <c r="AX746" s="65"/>
      <c r="AY746" s="65"/>
      <c r="AZ746" s="65"/>
      <c r="BA746" s="65"/>
      <c r="BB746" s="65"/>
      <c r="BC746" s="65"/>
      <c r="BD746" s="65"/>
      <c r="BE746" s="65"/>
      <c r="BF746" s="65"/>
      <c r="BG746" s="65"/>
      <c r="BH746" s="65"/>
      <c r="BI746" s="65"/>
      <c r="BJ746" s="65"/>
      <c r="BK746" s="65">
        <v>0</v>
      </c>
      <c r="BL746" s="65">
        <v>0</v>
      </c>
      <c r="BM746" s="65">
        <v>0</v>
      </c>
      <c r="BN746" s="65">
        <f t="shared" ref="BN746:BN756" si="3814">IF(O746-BK746&gt;0,O746-BK746,0)</f>
        <v>0</v>
      </c>
      <c r="BO746" s="67">
        <f t="shared" ref="BO746:BO756" si="3815">IF(Q746-BM746&gt;0,Q746-BM746,0)</f>
        <v>0</v>
      </c>
      <c r="BP746" s="65">
        <f t="shared" ref="BP746:BP756" si="3816">IF(BN746+BO746&gt;0,BN746+BO746,0)</f>
        <v>0</v>
      </c>
      <c r="BQ746" s="65">
        <f t="shared" ref="BQ746:BQ756" si="3817">IF(U746=0,0,U746)</f>
        <v>0</v>
      </c>
      <c r="BR746" s="65">
        <f t="shared" ref="BR746:BR756" si="3818">IF(W746=0,0,W746)</f>
        <v>0</v>
      </c>
      <c r="BS746" s="65">
        <f t="shared" ref="BS746:BS756" si="3819">IF(BQ746+BR746&gt;0,BQ746+BR746,0)</f>
        <v>0</v>
      </c>
      <c r="BT746" s="65">
        <f t="shared" ref="BT746:BT756" si="3820">IF(V746&gt;0,V746,0)</f>
        <v>0</v>
      </c>
      <c r="BU746" s="65">
        <f t="shared" ref="BU746:BU756" si="3821">IF(BP746=0,0,BP746)</f>
        <v>0</v>
      </c>
      <c r="BV746" s="65">
        <f t="shared" ref="BV746:BV756" si="3822">IF(BS746=0,0,BS746)</f>
        <v>0</v>
      </c>
      <c r="BW746" s="65">
        <f t="shared" ref="BW746:BW756" si="3823">IF(BP746+BT746+BV746&gt;0,BP746+BT746+BV746,0)</f>
        <v>0</v>
      </c>
      <c r="BX746" s="6"/>
      <c r="BY746" s="6"/>
      <c r="BZ746" s="6"/>
      <c r="CA746" s="6"/>
      <c r="CB746" s="6"/>
      <c r="CC746" s="6"/>
      <c r="CD746" s="6"/>
      <c r="CE746" s="6"/>
      <c r="CF746" s="6"/>
      <c r="CG746" s="6"/>
    </row>
    <row r="747" spans="1:85" ht="15.75" customHeight="1">
      <c r="A747" s="121"/>
      <c r="B747" s="121" t="s">
        <v>918</v>
      </c>
      <c r="C747" s="68" t="s">
        <v>535</v>
      </c>
      <c r="D747" s="122" t="s">
        <v>919</v>
      </c>
      <c r="E747" s="99">
        <v>0</v>
      </c>
      <c r="F747" s="99">
        <v>0</v>
      </c>
      <c r="G747" s="58">
        <f t="shared" si="3807"/>
        <v>0</v>
      </c>
      <c r="H747" s="99">
        <v>0</v>
      </c>
      <c r="I747" s="59">
        <f t="shared" si="3007"/>
        <v>0</v>
      </c>
      <c r="J747" s="59">
        <f t="shared" si="2705"/>
        <v>0</v>
      </c>
      <c r="K747" s="74">
        <v>0</v>
      </c>
      <c r="L747" s="376">
        <v>800</v>
      </c>
      <c r="M747" s="74">
        <v>0</v>
      </c>
      <c r="N747" s="74">
        <v>0</v>
      </c>
      <c r="O747" s="61">
        <f t="shared" ref="O747:Q747" si="3824">AA747+AD747+AG747+AJ747+AM747+AP747+AS747+AV747+AY747+BB747+BE747+BH747</f>
        <v>0</v>
      </c>
      <c r="P747" s="61">
        <f t="shared" si="3824"/>
        <v>800</v>
      </c>
      <c r="Q747" s="61">
        <f t="shared" si="3824"/>
        <v>0</v>
      </c>
      <c r="R747" s="61">
        <f t="shared" ref="R747:T747" si="3825">IF(BK747=0,SUM(AA747+AD747+AG747+AJ747+AM747+AP747+AS747+AV747+AY747+BB747+BE747+BH747),BK747)</f>
        <v>0</v>
      </c>
      <c r="S747" s="61">
        <f t="shared" si="3825"/>
        <v>800</v>
      </c>
      <c r="T747" s="61">
        <f t="shared" si="3825"/>
        <v>0</v>
      </c>
      <c r="U747" s="63">
        <f t="shared" si="3810"/>
        <v>0</v>
      </c>
      <c r="V747" s="63">
        <f t="shared" si="3811"/>
        <v>0</v>
      </c>
      <c r="W747" s="63">
        <f t="shared" si="3812"/>
        <v>0</v>
      </c>
      <c r="X747" s="64">
        <f t="shared" ref="X747:Y747" si="3826">IF(O747&gt;0,O747/K747,0)</f>
        <v>0</v>
      </c>
      <c r="Y747" s="64">
        <f t="shared" si="3826"/>
        <v>1</v>
      </c>
      <c r="Z747" s="64">
        <f t="shared" si="3511"/>
        <v>0</v>
      </c>
      <c r="AA747" s="65"/>
      <c r="AB747" s="100">
        <v>800</v>
      </c>
      <c r="AC747" s="65"/>
      <c r="AD747" s="65"/>
      <c r="AE747" s="66"/>
      <c r="AF747" s="66"/>
      <c r="AG747" s="66"/>
      <c r="AH747" s="66"/>
      <c r="AI747" s="65"/>
      <c r="AJ747" s="65"/>
      <c r="AK747" s="65"/>
      <c r="AL747" s="65"/>
      <c r="AM747" s="65"/>
      <c r="AN747" s="65"/>
      <c r="AO747" s="65"/>
      <c r="AP747" s="65"/>
      <c r="AQ747" s="65"/>
      <c r="AR747" s="65"/>
      <c r="AS747" s="65"/>
      <c r="AT747" s="65"/>
      <c r="AU747" s="65"/>
      <c r="AV747" s="65"/>
      <c r="AW747" s="65"/>
      <c r="AX747" s="65"/>
      <c r="AY747" s="65"/>
      <c r="AZ747" s="65"/>
      <c r="BA747" s="65"/>
      <c r="BB747" s="65"/>
      <c r="BC747" s="65"/>
      <c r="BD747" s="65"/>
      <c r="BE747" s="65"/>
      <c r="BF747" s="65"/>
      <c r="BG747" s="65"/>
      <c r="BH747" s="65"/>
      <c r="BI747" s="65"/>
      <c r="BJ747" s="65"/>
      <c r="BK747" s="65">
        <v>0</v>
      </c>
      <c r="BL747" s="65">
        <v>0</v>
      </c>
      <c r="BM747" s="65">
        <v>0</v>
      </c>
      <c r="BN747" s="65">
        <f t="shared" si="3814"/>
        <v>0</v>
      </c>
      <c r="BO747" s="67">
        <f t="shared" si="3815"/>
        <v>0</v>
      </c>
      <c r="BP747" s="65">
        <f t="shared" si="3816"/>
        <v>0</v>
      </c>
      <c r="BQ747" s="65">
        <f t="shared" si="3817"/>
        <v>0</v>
      </c>
      <c r="BR747" s="65">
        <f t="shared" si="3818"/>
        <v>0</v>
      </c>
      <c r="BS747" s="65">
        <f t="shared" si="3819"/>
        <v>0</v>
      </c>
      <c r="BT747" s="65">
        <f t="shared" si="3820"/>
        <v>0</v>
      </c>
      <c r="BU747" s="65">
        <f t="shared" si="3821"/>
        <v>0</v>
      </c>
      <c r="BV747" s="65">
        <f t="shared" si="3822"/>
        <v>0</v>
      </c>
      <c r="BW747" s="65">
        <f t="shared" si="3823"/>
        <v>0</v>
      </c>
      <c r="BX747" s="6"/>
      <c r="BY747" s="6"/>
      <c r="BZ747" s="6"/>
      <c r="CA747" s="6"/>
      <c r="CB747" s="6"/>
      <c r="CC747" s="6"/>
      <c r="CD747" s="6"/>
      <c r="CE747" s="6"/>
      <c r="CF747" s="6"/>
      <c r="CG747" s="6"/>
    </row>
    <row r="748" spans="1:85" ht="15.75" customHeight="1">
      <c r="A748" s="68"/>
      <c r="B748" s="377"/>
      <c r="C748" s="68" t="s">
        <v>434</v>
      </c>
      <c r="D748" s="122" t="s">
        <v>920</v>
      </c>
      <c r="E748" s="99">
        <v>0</v>
      </c>
      <c r="F748" s="99">
        <v>0</v>
      </c>
      <c r="G748" s="58">
        <f t="shared" si="3807"/>
        <v>0</v>
      </c>
      <c r="H748" s="99">
        <v>0</v>
      </c>
      <c r="I748" s="59">
        <f t="shared" si="3007"/>
        <v>0</v>
      </c>
      <c r="J748" s="59">
        <f t="shared" si="2705"/>
        <v>0</v>
      </c>
      <c r="K748" s="74">
        <v>0</v>
      </c>
      <c r="L748" s="74">
        <v>0</v>
      </c>
      <c r="M748" s="74">
        <v>0</v>
      </c>
      <c r="N748" s="74">
        <v>0</v>
      </c>
      <c r="O748" s="61">
        <f t="shared" ref="O748:Q748" si="3827">AA748+AD748+AG748+AJ748+AM748+AP748+AS748+AV748+AY748+BB748+BE748+BH748</f>
        <v>0</v>
      </c>
      <c r="P748" s="61">
        <f t="shared" si="3827"/>
        <v>0</v>
      </c>
      <c r="Q748" s="61">
        <f t="shared" si="3827"/>
        <v>0</v>
      </c>
      <c r="R748" s="61">
        <f t="shared" ref="R748:T748" si="3828">IF(BK748=0,SUM(AA748+AD748+AG748+AJ748+AM748+AP748+AS748+AV748+AY748+BB748+BE748+BH748),BK748)</f>
        <v>0</v>
      </c>
      <c r="S748" s="61">
        <f t="shared" si="3828"/>
        <v>0</v>
      </c>
      <c r="T748" s="61">
        <f t="shared" si="3828"/>
        <v>0</v>
      </c>
      <c r="U748" s="63">
        <f t="shared" si="3810"/>
        <v>0</v>
      </c>
      <c r="V748" s="63">
        <f t="shared" si="3811"/>
        <v>0</v>
      </c>
      <c r="W748" s="63">
        <f t="shared" si="3812"/>
        <v>0</v>
      </c>
      <c r="X748" s="64">
        <f t="shared" ref="X748:Y748" si="3829">IF(O748&gt;0,O748/K748,0)</f>
        <v>0</v>
      </c>
      <c r="Y748" s="64">
        <f t="shared" si="3829"/>
        <v>0</v>
      </c>
      <c r="Z748" s="64">
        <f t="shared" si="3511"/>
        <v>0</v>
      </c>
      <c r="AA748" s="65"/>
      <c r="AB748" s="65"/>
      <c r="AC748" s="65"/>
      <c r="AD748" s="65"/>
      <c r="AE748" s="66"/>
      <c r="AF748" s="66"/>
      <c r="AG748" s="66"/>
      <c r="AH748" s="66"/>
      <c r="AI748" s="65"/>
      <c r="AJ748" s="65"/>
      <c r="AK748" s="65"/>
      <c r="AL748" s="65"/>
      <c r="AM748" s="65"/>
      <c r="AN748" s="65"/>
      <c r="AO748" s="65"/>
      <c r="AP748" s="65"/>
      <c r="AQ748" s="65"/>
      <c r="AR748" s="65"/>
      <c r="AS748" s="65"/>
      <c r="AT748" s="65"/>
      <c r="AU748" s="65"/>
      <c r="AV748" s="65"/>
      <c r="AW748" s="65"/>
      <c r="AX748" s="65"/>
      <c r="AY748" s="65"/>
      <c r="AZ748" s="65"/>
      <c r="BA748" s="65"/>
      <c r="BB748" s="65"/>
      <c r="BC748" s="65"/>
      <c r="BD748" s="65"/>
      <c r="BE748" s="65"/>
      <c r="BF748" s="65"/>
      <c r="BG748" s="65"/>
      <c r="BH748" s="65"/>
      <c r="BI748" s="65"/>
      <c r="BJ748" s="65"/>
      <c r="BK748" s="65">
        <v>0</v>
      </c>
      <c r="BL748" s="65">
        <v>0</v>
      </c>
      <c r="BM748" s="65">
        <v>0</v>
      </c>
      <c r="BN748" s="65">
        <f t="shared" si="3814"/>
        <v>0</v>
      </c>
      <c r="BO748" s="67">
        <f t="shared" si="3815"/>
        <v>0</v>
      </c>
      <c r="BP748" s="65">
        <f t="shared" si="3816"/>
        <v>0</v>
      </c>
      <c r="BQ748" s="65">
        <f t="shared" si="3817"/>
        <v>0</v>
      </c>
      <c r="BR748" s="65">
        <f t="shared" si="3818"/>
        <v>0</v>
      </c>
      <c r="BS748" s="65">
        <f t="shared" si="3819"/>
        <v>0</v>
      </c>
      <c r="BT748" s="65">
        <f t="shared" si="3820"/>
        <v>0</v>
      </c>
      <c r="BU748" s="65">
        <f t="shared" si="3821"/>
        <v>0</v>
      </c>
      <c r="BV748" s="65">
        <f t="shared" si="3822"/>
        <v>0</v>
      </c>
      <c r="BW748" s="65">
        <f t="shared" si="3823"/>
        <v>0</v>
      </c>
      <c r="BX748" s="6"/>
      <c r="BY748" s="6"/>
      <c r="BZ748" s="6"/>
      <c r="CA748" s="6"/>
      <c r="CB748" s="6"/>
      <c r="CC748" s="6"/>
      <c r="CD748" s="6"/>
      <c r="CE748" s="6"/>
      <c r="CF748" s="6"/>
      <c r="CG748" s="6"/>
    </row>
    <row r="749" spans="1:85" ht="15.75" customHeight="1">
      <c r="A749" s="68"/>
      <c r="B749" s="68" t="s">
        <v>921</v>
      </c>
      <c r="C749" s="68" t="s">
        <v>434</v>
      </c>
      <c r="D749" s="122" t="s">
        <v>922</v>
      </c>
      <c r="E749" s="99">
        <v>0</v>
      </c>
      <c r="F749" s="99">
        <v>0</v>
      </c>
      <c r="G749" s="58">
        <f t="shared" si="3807"/>
        <v>0</v>
      </c>
      <c r="H749" s="99">
        <v>0</v>
      </c>
      <c r="I749" s="59">
        <f t="shared" si="3007"/>
        <v>0</v>
      </c>
      <c r="J749" s="59">
        <f t="shared" si="2705"/>
        <v>0</v>
      </c>
      <c r="K749" s="74">
        <v>0</v>
      </c>
      <c r="L749" s="376">
        <v>3786.7</v>
      </c>
      <c r="M749" s="74">
        <v>0</v>
      </c>
      <c r="N749" s="74">
        <v>0</v>
      </c>
      <c r="O749" s="61">
        <f t="shared" ref="O749:Q749" si="3830">AA749+AD749+AG749+AJ749+AM749+AP749+AS749+AV749+AY749+BB749+BE749+BH749</f>
        <v>0</v>
      </c>
      <c r="P749" s="61">
        <f t="shared" si="3830"/>
        <v>3786.7</v>
      </c>
      <c r="Q749" s="61">
        <f t="shared" si="3830"/>
        <v>0</v>
      </c>
      <c r="R749" s="61">
        <f t="shared" ref="R749:T749" si="3831">IF(BK749=0,SUM(AA749+AD749+AG749+AJ749+AM749+AP749+AS749+AV749+AY749+BB749+BE749+BH749),BK749)</f>
        <v>0</v>
      </c>
      <c r="S749" s="61">
        <f t="shared" si="3831"/>
        <v>3786.7</v>
      </c>
      <c r="T749" s="61">
        <f t="shared" si="3831"/>
        <v>0</v>
      </c>
      <c r="U749" s="63">
        <f t="shared" si="3810"/>
        <v>0</v>
      </c>
      <c r="V749" s="63">
        <f t="shared" si="3811"/>
        <v>0</v>
      </c>
      <c r="W749" s="63">
        <f t="shared" si="3812"/>
        <v>0</v>
      </c>
      <c r="X749" s="64">
        <f t="shared" ref="X749:Y749" si="3832">IF(O749&gt;0,O749/K749,0)</f>
        <v>0</v>
      </c>
      <c r="Y749" s="64">
        <f t="shared" si="3832"/>
        <v>1</v>
      </c>
      <c r="Z749" s="64">
        <f t="shared" si="3511"/>
        <v>0</v>
      </c>
      <c r="AA749" s="65"/>
      <c r="AB749" s="100">
        <v>2911.2</v>
      </c>
      <c r="AC749" s="65"/>
      <c r="AD749" s="65"/>
      <c r="AE749" s="113">
        <v>875.5</v>
      </c>
      <c r="AF749" s="66"/>
      <c r="AG749" s="66"/>
      <c r="AH749" s="66"/>
      <c r="AI749" s="65"/>
      <c r="AJ749" s="65"/>
      <c r="AK749" s="65"/>
      <c r="AL749" s="65"/>
      <c r="AM749" s="65"/>
      <c r="AN749" s="65"/>
      <c r="AO749" s="65"/>
      <c r="AP749" s="65"/>
      <c r="AQ749" s="65"/>
      <c r="AR749" s="65"/>
      <c r="AS749" s="65"/>
      <c r="AT749" s="65"/>
      <c r="AU749" s="65"/>
      <c r="AV749" s="65"/>
      <c r="AW749" s="65"/>
      <c r="AX749" s="65"/>
      <c r="AY749" s="65"/>
      <c r="AZ749" s="65"/>
      <c r="BA749" s="65"/>
      <c r="BB749" s="65"/>
      <c r="BC749" s="65"/>
      <c r="BD749" s="65"/>
      <c r="BE749" s="65"/>
      <c r="BF749" s="65"/>
      <c r="BG749" s="65"/>
      <c r="BH749" s="65"/>
      <c r="BI749" s="65"/>
      <c r="BJ749" s="65"/>
      <c r="BK749" s="65">
        <v>0</v>
      </c>
      <c r="BL749" s="65">
        <v>0</v>
      </c>
      <c r="BM749" s="65">
        <v>0</v>
      </c>
      <c r="BN749" s="65">
        <f t="shared" si="3814"/>
        <v>0</v>
      </c>
      <c r="BO749" s="67">
        <f t="shared" si="3815"/>
        <v>0</v>
      </c>
      <c r="BP749" s="65">
        <f t="shared" si="3816"/>
        <v>0</v>
      </c>
      <c r="BQ749" s="65">
        <f t="shared" si="3817"/>
        <v>0</v>
      </c>
      <c r="BR749" s="65">
        <f t="shared" si="3818"/>
        <v>0</v>
      </c>
      <c r="BS749" s="65">
        <f t="shared" si="3819"/>
        <v>0</v>
      </c>
      <c r="BT749" s="65">
        <f t="shared" si="3820"/>
        <v>0</v>
      </c>
      <c r="BU749" s="65">
        <f t="shared" si="3821"/>
        <v>0</v>
      </c>
      <c r="BV749" s="65">
        <f t="shared" si="3822"/>
        <v>0</v>
      </c>
      <c r="BW749" s="65">
        <f t="shared" si="3823"/>
        <v>0</v>
      </c>
      <c r="BX749" s="6"/>
      <c r="BY749" s="6"/>
      <c r="BZ749" s="6"/>
      <c r="CA749" s="6"/>
      <c r="CB749" s="6"/>
      <c r="CC749" s="6"/>
      <c r="CD749" s="6"/>
      <c r="CE749" s="6"/>
      <c r="CF749" s="6"/>
      <c r="CG749" s="6"/>
    </row>
    <row r="750" spans="1:85" ht="15.75" customHeight="1" outlineLevel="1">
      <c r="A750" s="121"/>
      <c r="B750" s="169"/>
      <c r="C750" s="68" t="s">
        <v>835</v>
      </c>
      <c r="D750" s="122" t="s">
        <v>838</v>
      </c>
      <c r="E750" s="99">
        <v>0</v>
      </c>
      <c r="F750" s="99">
        <v>0</v>
      </c>
      <c r="G750" s="58">
        <f t="shared" si="3807"/>
        <v>0</v>
      </c>
      <c r="H750" s="99">
        <v>0</v>
      </c>
      <c r="I750" s="59">
        <f t="shared" si="3007"/>
        <v>0</v>
      </c>
      <c r="J750" s="59">
        <f t="shared" si="2705"/>
        <v>0</v>
      </c>
      <c r="K750" s="74">
        <v>0</v>
      </c>
      <c r="L750" s="74">
        <v>0</v>
      </c>
      <c r="M750" s="74">
        <v>0</v>
      </c>
      <c r="N750" s="74">
        <v>0</v>
      </c>
      <c r="O750" s="61">
        <f t="shared" ref="O750:Q750" si="3833">AA750+AD750+AG750+AJ750+AM750+AP750+AS750+AV750+AY750+BB750+BE750+BH750</f>
        <v>0</v>
      </c>
      <c r="P750" s="61">
        <f t="shared" si="3833"/>
        <v>0</v>
      </c>
      <c r="Q750" s="61">
        <f t="shared" si="3833"/>
        <v>0</v>
      </c>
      <c r="R750" s="61">
        <f t="shared" ref="R750:T750" si="3834">IF(BK750=0,SUM(AA750+AD750+AG750+AJ750+AM750+AP750+AS750+AV750+AY750+BB750+BE750+BH750),BK750)</f>
        <v>0</v>
      </c>
      <c r="S750" s="61">
        <f t="shared" si="3834"/>
        <v>0</v>
      </c>
      <c r="T750" s="61">
        <f t="shared" si="3834"/>
        <v>0</v>
      </c>
      <c r="U750" s="63">
        <f t="shared" si="3810"/>
        <v>0</v>
      </c>
      <c r="V750" s="63">
        <f t="shared" si="3811"/>
        <v>0</v>
      </c>
      <c r="W750" s="63">
        <f t="shared" si="3812"/>
        <v>0</v>
      </c>
      <c r="X750" s="64">
        <f t="shared" ref="X750:Y750" si="3835">IF(O750&gt;0,O750/K750,0)</f>
        <v>0</v>
      </c>
      <c r="Y750" s="64">
        <f t="shared" si="3835"/>
        <v>0</v>
      </c>
      <c r="Z750" s="64">
        <f t="shared" si="3511"/>
        <v>0</v>
      </c>
      <c r="AA750" s="65"/>
      <c r="AB750" s="65"/>
      <c r="AC750" s="65"/>
      <c r="AD750" s="65"/>
      <c r="AE750" s="66"/>
      <c r="AF750" s="66"/>
      <c r="AG750" s="66"/>
      <c r="AH750" s="66"/>
      <c r="AI750" s="65"/>
      <c r="AJ750" s="65"/>
      <c r="AK750" s="65"/>
      <c r="AL750" s="65"/>
      <c r="AM750" s="65"/>
      <c r="AN750" s="65"/>
      <c r="AO750" s="65"/>
      <c r="AP750" s="65"/>
      <c r="AQ750" s="65"/>
      <c r="AR750" s="65"/>
      <c r="AS750" s="65"/>
      <c r="AT750" s="65"/>
      <c r="AU750" s="65"/>
      <c r="AV750" s="65"/>
      <c r="AW750" s="65"/>
      <c r="AX750" s="65"/>
      <c r="AY750" s="65"/>
      <c r="AZ750" s="65"/>
      <c r="BA750" s="65"/>
      <c r="BB750" s="65"/>
      <c r="BC750" s="65"/>
      <c r="BD750" s="65"/>
      <c r="BE750" s="65"/>
      <c r="BF750" s="65"/>
      <c r="BG750" s="65"/>
      <c r="BH750" s="65"/>
      <c r="BI750" s="65"/>
      <c r="BJ750" s="65"/>
      <c r="BK750" s="65">
        <v>0</v>
      </c>
      <c r="BL750" s="65">
        <v>0</v>
      </c>
      <c r="BM750" s="65">
        <v>0</v>
      </c>
      <c r="BN750" s="65">
        <f t="shared" si="3814"/>
        <v>0</v>
      </c>
      <c r="BO750" s="67">
        <f t="shared" si="3815"/>
        <v>0</v>
      </c>
      <c r="BP750" s="65">
        <f t="shared" si="3816"/>
        <v>0</v>
      </c>
      <c r="BQ750" s="65">
        <f t="shared" si="3817"/>
        <v>0</v>
      </c>
      <c r="BR750" s="65">
        <f t="shared" si="3818"/>
        <v>0</v>
      </c>
      <c r="BS750" s="65">
        <f t="shared" si="3819"/>
        <v>0</v>
      </c>
      <c r="BT750" s="65">
        <f t="shared" si="3820"/>
        <v>0</v>
      </c>
      <c r="BU750" s="65">
        <f t="shared" si="3821"/>
        <v>0</v>
      </c>
      <c r="BV750" s="65">
        <f t="shared" si="3822"/>
        <v>0</v>
      </c>
      <c r="BW750" s="65">
        <f t="shared" si="3823"/>
        <v>0</v>
      </c>
      <c r="BX750" s="6"/>
      <c r="BY750" s="6"/>
      <c r="BZ750" s="6"/>
      <c r="CA750" s="6"/>
      <c r="CB750" s="6"/>
      <c r="CC750" s="6"/>
      <c r="CD750" s="6"/>
      <c r="CE750" s="6"/>
      <c r="CF750" s="6"/>
      <c r="CG750" s="6"/>
    </row>
    <row r="751" spans="1:85" ht="15.75" customHeight="1" outlineLevel="1">
      <c r="A751" s="121"/>
      <c r="B751" s="169"/>
      <c r="C751" s="68" t="s">
        <v>835</v>
      </c>
      <c r="D751" s="122" t="s">
        <v>836</v>
      </c>
      <c r="E751" s="99">
        <v>0</v>
      </c>
      <c r="F751" s="99">
        <v>0</v>
      </c>
      <c r="G751" s="58">
        <f t="shared" si="3807"/>
        <v>0</v>
      </c>
      <c r="H751" s="99">
        <v>0</v>
      </c>
      <c r="I751" s="59">
        <f t="shared" si="3007"/>
        <v>0</v>
      </c>
      <c r="J751" s="59">
        <f t="shared" si="2705"/>
        <v>0</v>
      </c>
      <c r="K751" s="74">
        <v>0</v>
      </c>
      <c r="L751" s="74">
        <v>0</v>
      </c>
      <c r="M751" s="74">
        <v>0</v>
      </c>
      <c r="N751" s="74">
        <v>0</v>
      </c>
      <c r="O751" s="61">
        <f t="shared" ref="O751:Q751" si="3836">AA751+AD751+AG751+AJ751+AM751+AP751+AS751+AV751+AY751+BB751+BE751+BH751</f>
        <v>0</v>
      </c>
      <c r="P751" s="61">
        <f t="shared" si="3836"/>
        <v>0</v>
      </c>
      <c r="Q751" s="61">
        <f t="shared" si="3836"/>
        <v>0</v>
      </c>
      <c r="R751" s="61">
        <f t="shared" ref="R751:T751" si="3837">IF(BK751=0,SUM(AA751+AD751+AG751+AJ751+AM751+AP751+AS751+AV751+AY751+BB751+BE751+BH751),BK751)</f>
        <v>0</v>
      </c>
      <c r="S751" s="61">
        <f t="shared" si="3837"/>
        <v>0</v>
      </c>
      <c r="T751" s="61">
        <f t="shared" si="3837"/>
        <v>0</v>
      </c>
      <c r="U751" s="63">
        <f t="shared" si="3810"/>
        <v>0</v>
      </c>
      <c r="V751" s="63">
        <f t="shared" si="3811"/>
        <v>0</v>
      </c>
      <c r="W751" s="63">
        <f t="shared" si="3812"/>
        <v>0</v>
      </c>
      <c r="X751" s="64">
        <f t="shared" ref="X751:Y751" si="3838">IF(O751&gt;0,O751/K751,0)</f>
        <v>0</v>
      </c>
      <c r="Y751" s="64">
        <f t="shared" si="3838"/>
        <v>0</v>
      </c>
      <c r="Z751" s="64">
        <f t="shared" si="3511"/>
        <v>0</v>
      </c>
      <c r="AA751" s="65"/>
      <c r="AB751" s="65"/>
      <c r="AC751" s="65"/>
      <c r="AD751" s="65"/>
      <c r="AE751" s="66"/>
      <c r="AF751" s="66"/>
      <c r="AG751" s="66"/>
      <c r="AH751" s="66"/>
      <c r="AI751" s="65"/>
      <c r="AJ751" s="65"/>
      <c r="AK751" s="65"/>
      <c r="AL751" s="65"/>
      <c r="AM751" s="65"/>
      <c r="AN751" s="65"/>
      <c r="AO751" s="65"/>
      <c r="AP751" s="65"/>
      <c r="AQ751" s="65"/>
      <c r="AR751" s="65"/>
      <c r="AS751" s="65"/>
      <c r="AT751" s="65"/>
      <c r="AU751" s="65"/>
      <c r="AV751" s="65"/>
      <c r="AW751" s="65"/>
      <c r="AX751" s="65"/>
      <c r="AY751" s="65"/>
      <c r="AZ751" s="65"/>
      <c r="BA751" s="65"/>
      <c r="BB751" s="65"/>
      <c r="BC751" s="65"/>
      <c r="BD751" s="65"/>
      <c r="BE751" s="65"/>
      <c r="BF751" s="65"/>
      <c r="BG751" s="65"/>
      <c r="BH751" s="65"/>
      <c r="BI751" s="65"/>
      <c r="BJ751" s="65"/>
      <c r="BK751" s="65">
        <v>0</v>
      </c>
      <c r="BL751" s="65">
        <v>0</v>
      </c>
      <c r="BM751" s="65">
        <v>0</v>
      </c>
      <c r="BN751" s="65">
        <f t="shared" si="3814"/>
        <v>0</v>
      </c>
      <c r="BO751" s="67">
        <f t="shared" si="3815"/>
        <v>0</v>
      </c>
      <c r="BP751" s="65">
        <f t="shared" si="3816"/>
        <v>0</v>
      </c>
      <c r="BQ751" s="65">
        <f t="shared" si="3817"/>
        <v>0</v>
      </c>
      <c r="BR751" s="65">
        <f t="shared" si="3818"/>
        <v>0</v>
      </c>
      <c r="BS751" s="65">
        <f t="shared" si="3819"/>
        <v>0</v>
      </c>
      <c r="BT751" s="65">
        <f t="shared" si="3820"/>
        <v>0</v>
      </c>
      <c r="BU751" s="65">
        <f t="shared" si="3821"/>
        <v>0</v>
      </c>
      <c r="BV751" s="65">
        <f t="shared" si="3822"/>
        <v>0</v>
      </c>
      <c r="BW751" s="65">
        <f t="shared" si="3823"/>
        <v>0</v>
      </c>
      <c r="BX751" s="6"/>
      <c r="BY751" s="6"/>
      <c r="BZ751" s="6"/>
      <c r="CA751" s="6"/>
      <c r="CB751" s="6"/>
      <c r="CC751" s="6"/>
      <c r="CD751" s="6"/>
      <c r="CE751" s="6"/>
      <c r="CF751" s="6"/>
      <c r="CG751" s="6"/>
    </row>
    <row r="752" spans="1:85" ht="15.75" customHeight="1" outlineLevel="1">
      <c r="A752" s="121"/>
      <c r="B752" s="169"/>
      <c r="C752" s="68" t="s">
        <v>835</v>
      </c>
      <c r="D752" s="122" t="s">
        <v>923</v>
      </c>
      <c r="E752" s="99">
        <v>0</v>
      </c>
      <c r="F752" s="99">
        <v>0</v>
      </c>
      <c r="G752" s="58">
        <f t="shared" si="3807"/>
        <v>0</v>
      </c>
      <c r="H752" s="99">
        <v>0</v>
      </c>
      <c r="I752" s="59">
        <f t="shared" si="3007"/>
        <v>0</v>
      </c>
      <c r="J752" s="59">
        <f t="shared" si="2705"/>
        <v>0</v>
      </c>
      <c r="K752" s="74">
        <v>0</v>
      </c>
      <c r="L752" s="74">
        <v>0</v>
      </c>
      <c r="M752" s="74">
        <v>0</v>
      </c>
      <c r="N752" s="74">
        <v>0</v>
      </c>
      <c r="O752" s="61">
        <f t="shared" ref="O752:Q752" si="3839">AA752+AD752+AG752+AJ752+AM752+AP752+AS752+AV752+AY752+BB752+BE752+BH752</f>
        <v>0</v>
      </c>
      <c r="P752" s="61">
        <f t="shared" si="3839"/>
        <v>0</v>
      </c>
      <c r="Q752" s="61">
        <f t="shared" si="3839"/>
        <v>0</v>
      </c>
      <c r="R752" s="61">
        <f t="shared" ref="R752:T752" si="3840">IF(BK752=0,SUM(AA752+AD752+AG752+AJ752+AM752+AP752+AS752+AV752+AY752+BB752+BE752+BH752),BK752)</f>
        <v>0</v>
      </c>
      <c r="S752" s="61">
        <f t="shared" si="3840"/>
        <v>0</v>
      </c>
      <c r="T752" s="61">
        <f t="shared" si="3840"/>
        <v>0</v>
      </c>
      <c r="U752" s="63">
        <f t="shared" si="3810"/>
        <v>0</v>
      </c>
      <c r="V752" s="63">
        <f t="shared" si="3811"/>
        <v>0</v>
      </c>
      <c r="W752" s="63">
        <f t="shared" si="3812"/>
        <v>0</v>
      </c>
      <c r="X752" s="64">
        <f t="shared" ref="X752:Y752" si="3841">IF(O752&gt;0,O752/K752,0)</f>
        <v>0</v>
      </c>
      <c r="Y752" s="64">
        <f t="shared" si="3841"/>
        <v>0</v>
      </c>
      <c r="Z752" s="64">
        <f t="shared" si="3511"/>
        <v>0</v>
      </c>
      <c r="AA752" s="65"/>
      <c r="AB752" s="65"/>
      <c r="AC752" s="65"/>
      <c r="AD752" s="65"/>
      <c r="AE752" s="66"/>
      <c r="AF752" s="66"/>
      <c r="AG752" s="66"/>
      <c r="AH752" s="66"/>
      <c r="AI752" s="65"/>
      <c r="AJ752" s="65"/>
      <c r="AK752" s="65"/>
      <c r="AL752" s="65"/>
      <c r="AM752" s="65"/>
      <c r="AN752" s="65"/>
      <c r="AO752" s="65"/>
      <c r="AP752" s="65"/>
      <c r="AQ752" s="65"/>
      <c r="AR752" s="65"/>
      <c r="AS752" s="65"/>
      <c r="AT752" s="65"/>
      <c r="AU752" s="65"/>
      <c r="AV752" s="65"/>
      <c r="AW752" s="65"/>
      <c r="AX752" s="65"/>
      <c r="AY752" s="65"/>
      <c r="AZ752" s="65"/>
      <c r="BA752" s="65"/>
      <c r="BB752" s="65"/>
      <c r="BC752" s="65"/>
      <c r="BD752" s="65"/>
      <c r="BE752" s="65"/>
      <c r="BF752" s="65"/>
      <c r="BG752" s="65"/>
      <c r="BH752" s="65"/>
      <c r="BI752" s="65"/>
      <c r="BJ752" s="65"/>
      <c r="BK752" s="65">
        <v>0</v>
      </c>
      <c r="BL752" s="65">
        <v>0</v>
      </c>
      <c r="BM752" s="65">
        <v>0</v>
      </c>
      <c r="BN752" s="65">
        <f t="shared" si="3814"/>
        <v>0</v>
      </c>
      <c r="BO752" s="67">
        <f t="shared" si="3815"/>
        <v>0</v>
      </c>
      <c r="BP752" s="65">
        <f t="shared" si="3816"/>
        <v>0</v>
      </c>
      <c r="BQ752" s="65">
        <f t="shared" si="3817"/>
        <v>0</v>
      </c>
      <c r="BR752" s="65">
        <f t="shared" si="3818"/>
        <v>0</v>
      </c>
      <c r="BS752" s="65">
        <f t="shared" si="3819"/>
        <v>0</v>
      </c>
      <c r="BT752" s="65">
        <f t="shared" si="3820"/>
        <v>0</v>
      </c>
      <c r="BU752" s="65">
        <f t="shared" si="3821"/>
        <v>0</v>
      </c>
      <c r="BV752" s="65">
        <f t="shared" si="3822"/>
        <v>0</v>
      </c>
      <c r="BW752" s="65">
        <f t="shared" si="3823"/>
        <v>0</v>
      </c>
      <c r="BX752" s="6"/>
      <c r="BY752" s="6"/>
      <c r="BZ752" s="6"/>
      <c r="CA752" s="6"/>
      <c r="CB752" s="6"/>
      <c r="CC752" s="6"/>
      <c r="CD752" s="6"/>
      <c r="CE752" s="6"/>
      <c r="CF752" s="6"/>
      <c r="CG752" s="6"/>
    </row>
    <row r="753" spans="1:85" ht="15.75" customHeight="1" outlineLevel="1">
      <c r="A753" s="121"/>
      <c r="B753" s="121" t="s">
        <v>924</v>
      </c>
      <c r="C753" s="68" t="s">
        <v>835</v>
      </c>
      <c r="D753" s="122" t="s">
        <v>836</v>
      </c>
      <c r="E753" s="99">
        <v>0</v>
      </c>
      <c r="F753" s="99">
        <v>0</v>
      </c>
      <c r="G753" s="58">
        <f t="shared" si="3807"/>
        <v>0</v>
      </c>
      <c r="H753" s="99">
        <v>0</v>
      </c>
      <c r="I753" s="59">
        <f t="shared" si="3007"/>
        <v>0</v>
      </c>
      <c r="J753" s="59">
        <f t="shared" si="2705"/>
        <v>0</v>
      </c>
      <c r="K753" s="74">
        <v>0</v>
      </c>
      <c r="L753" s="376">
        <v>63160</v>
      </c>
      <c r="M753" s="74">
        <v>0</v>
      </c>
      <c r="N753" s="74">
        <v>0</v>
      </c>
      <c r="O753" s="61">
        <f t="shared" ref="O753:Q753" si="3842">AA753+AD753+AG753+AJ753+AM753+AP753+AS753+AV753+AY753+BB753+BE753+BH753</f>
        <v>0</v>
      </c>
      <c r="P753" s="61">
        <f t="shared" si="3842"/>
        <v>63160</v>
      </c>
      <c r="Q753" s="61">
        <f t="shared" si="3842"/>
        <v>0</v>
      </c>
      <c r="R753" s="61">
        <f t="shared" ref="R753:T753" si="3843">IF(BK753=0,SUM(AA753+AD753+AG753+AJ753+AM753+AP753+AS753+AV753+AY753+BB753+BE753+BH753),BK753)</f>
        <v>0</v>
      </c>
      <c r="S753" s="61">
        <f t="shared" si="3843"/>
        <v>63160</v>
      </c>
      <c r="T753" s="61">
        <f t="shared" si="3843"/>
        <v>0</v>
      </c>
      <c r="U753" s="63">
        <f t="shared" si="3810"/>
        <v>0</v>
      </c>
      <c r="V753" s="63">
        <f t="shared" si="3811"/>
        <v>0</v>
      </c>
      <c r="W753" s="63">
        <f t="shared" si="3812"/>
        <v>0</v>
      </c>
      <c r="X753" s="64">
        <f t="shared" ref="X753:Y753" si="3844">IF(O753&gt;0,O753/K753,0)</f>
        <v>0</v>
      </c>
      <c r="Y753" s="64">
        <f t="shared" si="3844"/>
        <v>1</v>
      </c>
      <c r="Z753" s="64">
        <f t="shared" si="3511"/>
        <v>0</v>
      </c>
      <c r="AA753" s="65"/>
      <c r="AB753" s="65"/>
      <c r="AC753" s="65"/>
      <c r="AD753" s="65"/>
      <c r="AE753" s="113">
        <v>63160</v>
      </c>
      <c r="AF753" s="66"/>
      <c r="AG753" s="66"/>
      <c r="AH753" s="66"/>
      <c r="AI753" s="65"/>
      <c r="AJ753" s="65"/>
      <c r="AK753" s="65"/>
      <c r="AL753" s="65"/>
      <c r="AM753" s="65"/>
      <c r="AN753" s="65"/>
      <c r="AO753" s="65"/>
      <c r="AP753" s="65"/>
      <c r="AQ753" s="65"/>
      <c r="AR753" s="65"/>
      <c r="AS753" s="65"/>
      <c r="AT753" s="65"/>
      <c r="AU753" s="65"/>
      <c r="AV753" s="65"/>
      <c r="AW753" s="65"/>
      <c r="AX753" s="65"/>
      <c r="AY753" s="65"/>
      <c r="AZ753" s="65"/>
      <c r="BA753" s="65"/>
      <c r="BB753" s="65"/>
      <c r="BC753" s="65"/>
      <c r="BD753" s="65"/>
      <c r="BE753" s="65"/>
      <c r="BF753" s="65"/>
      <c r="BG753" s="65"/>
      <c r="BH753" s="65"/>
      <c r="BI753" s="65"/>
      <c r="BJ753" s="65"/>
      <c r="BK753" s="65">
        <v>0</v>
      </c>
      <c r="BL753" s="65">
        <v>0</v>
      </c>
      <c r="BM753" s="65">
        <v>0</v>
      </c>
      <c r="BN753" s="65">
        <f t="shared" si="3814"/>
        <v>0</v>
      </c>
      <c r="BO753" s="67">
        <f t="shared" si="3815"/>
        <v>0</v>
      </c>
      <c r="BP753" s="65">
        <f t="shared" si="3816"/>
        <v>0</v>
      </c>
      <c r="BQ753" s="65">
        <f t="shared" si="3817"/>
        <v>0</v>
      </c>
      <c r="BR753" s="65">
        <f t="shared" si="3818"/>
        <v>0</v>
      </c>
      <c r="BS753" s="65">
        <f t="shared" si="3819"/>
        <v>0</v>
      </c>
      <c r="BT753" s="65">
        <f t="shared" si="3820"/>
        <v>0</v>
      </c>
      <c r="BU753" s="65">
        <f t="shared" si="3821"/>
        <v>0</v>
      </c>
      <c r="BV753" s="65">
        <f t="shared" si="3822"/>
        <v>0</v>
      </c>
      <c r="BW753" s="65">
        <f t="shared" si="3823"/>
        <v>0</v>
      </c>
      <c r="BX753" s="6"/>
      <c r="BY753" s="6"/>
      <c r="BZ753" s="6"/>
      <c r="CA753" s="6"/>
      <c r="CB753" s="6"/>
      <c r="CC753" s="6"/>
      <c r="CD753" s="6"/>
      <c r="CE753" s="6"/>
      <c r="CF753" s="6"/>
      <c r="CG753" s="6"/>
    </row>
    <row r="754" spans="1:85" ht="15.75" customHeight="1" outlineLevel="1">
      <c r="A754" s="121"/>
      <c r="B754" s="169"/>
      <c r="C754" s="68" t="s">
        <v>835</v>
      </c>
      <c r="D754" s="122" t="s">
        <v>925</v>
      </c>
      <c r="E754" s="99">
        <v>0</v>
      </c>
      <c r="F754" s="99">
        <v>0</v>
      </c>
      <c r="G754" s="58">
        <f t="shared" si="3807"/>
        <v>0</v>
      </c>
      <c r="H754" s="99">
        <v>0</v>
      </c>
      <c r="I754" s="59">
        <f t="shared" si="3007"/>
        <v>0</v>
      </c>
      <c r="J754" s="59">
        <f t="shared" si="2705"/>
        <v>0</v>
      </c>
      <c r="K754" s="74">
        <v>0</v>
      </c>
      <c r="L754" s="74">
        <v>0</v>
      </c>
      <c r="M754" s="74">
        <v>0</v>
      </c>
      <c r="N754" s="74">
        <v>0</v>
      </c>
      <c r="O754" s="61">
        <f t="shared" ref="O754:Q754" si="3845">AA754+AD754+AG754+AJ754+AM754+AP754+AS754+AV754+AY754+BB754+BE754+BH754</f>
        <v>0</v>
      </c>
      <c r="P754" s="61">
        <f t="shared" si="3845"/>
        <v>0</v>
      </c>
      <c r="Q754" s="61">
        <f t="shared" si="3845"/>
        <v>0</v>
      </c>
      <c r="R754" s="61">
        <f t="shared" ref="R754:T754" si="3846">IF(BK754=0,SUM(AA754+AD754+AG754+AJ754+AM754+AP754+AS754+AV754+AY754+BB754+BE754+BH754),BK754)</f>
        <v>0</v>
      </c>
      <c r="S754" s="61">
        <f t="shared" si="3846"/>
        <v>0</v>
      </c>
      <c r="T754" s="61">
        <f t="shared" si="3846"/>
        <v>0</v>
      </c>
      <c r="U754" s="63">
        <f t="shared" si="3810"/>
        <v>0</v>
      </c>
      <c r="V754" s="63">
        <f t="shared" si="3811"/>
        <v>0</v>
      </c>
      <c r="W754" s="63">
        <f t="shared" si="3812"/>
        <v>0</v>
      </c>
      <c r="X754" s="64">
        <f t="shared" ref="X754:Y754" si="3847">IF(O754&gt;0,O754/K754,0)</f>
        <v>0</v>
      </c>
      <c r="Y754" s="64">
        <f t="shared" si="3847"/>
        <v>0</v>
      </c>
      <c r="Z754" s="64">
        <f t="shared" si="3511"/>
        <v>0</v>
      </c>
      <c r="AA754" s="65"/>
      <c r="AB754" s="65"/>
      <c r="AC754" s="65"/>
      <c r="AD754" s="65"/>
      <c r="AE754" s="66"/>
      <c r="AF754" s="66"/>
      <c r="AG754" s="66"/>
      <c r="AH754" s="66"/>
      <c r="AI754" s="65"/>
      <c r="AJ754" s="65"/>
      <c r="AK754" s="65"/>
      <c r="AL754" s="65"/>
      <c r="AM754" s="65"/>
      <c r="AN754" s="65"/>
      <c r="AO754" s="65"/>
      <c r="AP754" s="65"/>
      <c r="AQ754" s="65"/>
      <c r="AR754" s="65"/>
      <c r="AS754" s="65"/>
      <c r="AT754" s="65"/>
      <c r="AU754" s="65"/>
      <c r="AV754" s="65"/>
      <c r="AW754" s="65"/>
      <c r="AX754" s="65"/>
      <c r="AY754" s="65"/>
      <c r="AZ754" s="65"/>
      <c r="BA754" s="65"/>
      <c r="BB754" s="65"/>
      <c r="BC754" s="65"/>
      <c r="BD754" s="65"/>
      <c r="BE754" s="65"/>
      <c r="BF754" s="65"/>
      <c r="BG754" s="65"/>
      <c r="BH754" s="65"/>
      <c r="BI754" s="65"/>
      <c r="BJ754" s="65"/>
      <c r="BK754" s="65">
        <v>0</v>
      </c>
      <c r="BL754" s="65">
        <v>0</v>
      </c>
      <c r="BM754" s="65">
        <v>0</v>
      </c>
      <c r="BN754" s="65">
        <f t="shared" si="3814"/>
        <v>0</v>
      </c>
      <c r="BO754" s="67">
        <f t="shared" si="3815"/>
        <v>0</v>
      </c>
      <c r="BP754" s="65">
        <f t="shared" si="3816"/>
        <v>0</v>
      </c>
      <c r="BQ754" s="65">
        <f t="shared" si="3817"/>
        <v>0</v>
      </c>
      <c r="BR754" s="65">
        <f t="shared" si="3818"/>
        <v>0</v>
      </c>
      <c r="BS754" s="65">
        <f t="shared" si="3819"/>
        <v>0</v>
      </c>
      <c r="BT754" s="65">
        <f t="shared" si="3820"/>
        <v>0</v>
      </c>
      <c r="BU754" s="65">
        <f t="shared" si="3821"/>
        <v>0</v>
      </c>
      <c r="BV754" s="65">
        <f t="shared" si="3822"/>
        <v>0</v>
      </c>
      <c r="BW754" s="65">
        <f t="shared" si="3823"/>
        <v>0</v>
      </c>
      <c r="BX754" s="6"/>
      <c r="BY754" s="6"/>
      <c r="BZ754" s="6"/>
      <c r="CA754" s="6"/>
      <c r="CB754" s="6"/>
      <c r="CC754" s="6"/>
      <c r="CD754" s="6"/>
      <c r="CE754" s="6"/>
      <c r="CF754" s="6"/>
      <c r="CG754" s="6"/>
    </row>
    <row r="755" spans="1:85" ht="15.75" customHeight="1" outlineLevel="1">
      <c r="A755" s="121"/>
      <c r="B755" s="169"/>
      <c r="C755" s="68" t="s">
        <v>835</v>
      </c>
      <c r="D755" s="122" t="s">
        <v>926</v>
      </c>
      <c r="E755" s="99">
        <v>0</v>
      </c>
      <c r="F755" s="99">
        <v>0</v>
      </c>
      <c r="G755" s="58">
        <f t="shared" si="3807"/>
        <v>0</v>
      </c>
      <c r="H755" s="99">
        <v>0</v>
      </c>
      <c r="I755" s="59">
        <f t="shared" si="3007"/>
        <v>0</v>
      </c>
      <c r="J755" s="59">
        <f t="shared" si="2705"/>
        <v>0</v>
      </c>
      <c r="K755" s="74">
        <v>0</v>
      </c>
      <c r="L755" s="74">
        <v>0</v>
      </c>
      <c r="M755" s="74">
        <v>0</v>
      </c>
      <c r="N755" s="74">
        <v>0</v>
      </c>
      <c r="O755" s="61">
        <f t="shared" ref="O755:Q755" si="3848">AA755+AD755+AG755+AJ755+AM755+AP755+AS755+AV755+AY755+BB755+BE755+BH755</f>
        <v>0</v>
      </c>
      <c r="P755" s="61">
        <f t="shared" si="3848"/>
        <v>0</v>
      </c>
      <c r="Q755" s="61">
        <f t="shared" si="3848"/>
        <v>0</v>
      </c>
      <c r="R755" s="61">
        <f t="shared" ref="R755:T755" si="3849">IF(BK755=0,SUM(AA755+AD755+AG755+AJ755+AM755+AP755+AS755+AV755+AY755+BB755+BE755+BH755),BK755)</f>
        <v>0</v>
      </c>
      <c r="S755" s="61">
        <f t="shared" si="3849"/>
        <v>0</v>
      </c>
      <c r="T755" s="61">
        <f t="shared" si="3849"/>
        <v>0</v>
      </c>
      <c r="U755" s="63">
        <f t="shared" si="3810"/>
        <v>0</v>
      </c>
      <c r="V755" s="63">
        <f t="shared" si="3811"/>
        <v>0</v>
      </c>
      <c r="W755" s="208">
        <f t="shared" si="3812"/>
        <v>0</v>
      </c>
      <c r="X755" s="64">
        <f t="shared" ref="X755:Y755" si="3850">IF(O755&gt;0,O755/K755,0)</f>
        <v>0</v>
      </c>
      <c r="Y755" s="64">
        <f t="shared" si="3850"/>
        <v>0</v>
      </c>
      <c r="Z755" s="64">
        <f t="shared" si="3511"/>
        <v>0</v>
      </c>
      <c r="AA755" s="65"/>
      <c r="AB755" s="65"/>
      <c r="AC755" s="65"/>
      <c r="AD755" s="65"/>
      <c r="AE755" s="66"/>
      <c r="AF755" s="66"/>
      <c r="AG755" s="66"/>
      <c r="AH755" s="66"/>
      <c r="AI755" s="65"/>
      <c r="AJ755" s="65"/>
      <c r="AK755" s="65"/>
      <c r="AL755" s="65"/>
      <c r="AM755" s="65"/>
      <c r="AN755" s="65"/>
      <c r="AO755" s="65"/>
      <c r="AP755" s="65"/>
      <c r="AQ755" s="65"/>
      <c r="AR755" s="65"/>
      <c r="AS755" s="65"/>
      <c r="AT755" s="65"/>
      <c r="AU755" s="65"/>
      <c r="AV755" s="65"/>
      <c r="AW755" s="65"/>
      <c r="AX755" s="65"/>
      <c r="AY755" s="65"/>
      <c r="AZ755" s="65"/>
      <c r="BA755" s="65"/>
      <c r="BB755" s="65"/>
      <c r="BC755" s="65"/>
      <c r="BD755" s="65"/>
      <c r="BE755" s="65"/>
      <c r="BF755" s="65"/>
      <c r="BG755" s="65"/>
      <c r="BH755" s="65"/>
      <c r="BI755" s="65"/>
      <c r="BJ755" s="65"/>
      <c r="BK755" s="65">
        <v>0</v>
      </c>
      <c r="BL755" s="65">
        <v>0</v>
      </c>
      <c r="BM755" s="65">
        <v>0</v>
      </c>
      <c r="BN755" s="65">
        <f t="shared" si="3814"/>
        <v>0</v>
      </c>
      <c r="BO755" s="67">
        <f t="shared" si="3815"/>
        <v>0</v>
      </c>
      <c r="BP755" s="65">
        <f t="shared" si="3816"/>
        <v>0</v>
      </c>
      <c r="BQ755" s="65">
        <f t="shared" si="3817"/>
        <v>0</v>
      </c>
      <c r="BR755" s="65">
        <f t="shared" si="3818"/>
        <v>0</v>
      </c>
      <c r="BS755" s="65">
        <f t="shared" si="3819"/>
        <v>0</v>
      </c>
      <c r="BT755" s="65">
        <f t="shared" si="3820"/>
        <v>0</v>
      </c>
      <c r="BU755" s="65">
        <f t="shared" si="3821"/>
        <v>0</v>
      </c>
      <c r="BV755" s="65">
        <f t="shared" si="3822"/>
        <v>0</v>
      </c>
      <c r="BW755" s="65">
        <f t="shared" si="3823"/>
        <v>0</v>
      </c>
      <c r="BX755" s="6"/>
      <c r="BY755" s="6"/>
      <c r="BZ755" s="6"/>
      <c r="CA755" s="6"/>
      <c r="CB755" s="6"/>
      <c r="CC755" s="6"/>
      <c r="CD755" s="6"/>
      <c r="CE755" s="6"/>
      <c r="CF755" s="6"/>
      <c r="CG755" s="6"/>
    </row>
    <row r="756" spans="1:85" ht="15.75" customHeight="1" outlineLevel="1">
      <c r="A756" s="121"/>
      <c r="B756" s="169"/>
      <c r="C756" s="68" t="s">
        <v>835</v>
      </c>
      <c r="D756" s="122" t="s">
        <v>927</v>
      </c>
      <c r="E756" s="99">
        <v>0</v>
      </c>
      <c r="F756" s="99">
        <v>0</v>
      </c>
      <c r="G756" s="58">
        <f t="shared" si="3807"/>
        <v>0</v>
      </c>
      <c r="H756" s="99">
        <v>0</v>
      </c>
      <c r="I756" s="59">
        <f t="shared" si="3007"/>
        <v>0</v>
      </c>
      <c r="J756" s="59">
        <f t="shared" si="2705"/>
        <v>0</v>
      </c>
      <c r="K756" s="74">
        <v>0</v>
      </c>
      <c r="L756" s="74">
        <v>0</v>
      </c>
      <c r="M756" s="74">
        <v>0</v>
      </c>
      <c r="N756" s="74">
        <v>0</v>
      </c>
      <c r="O756" s="61">
        <f t="shared" ref="O756:Q756" si="3851">AA756+AD756+AG756+AJ756+AM756+AP756+AS756+AV756+AY756+BB756+BE756+BH756</f>
        <v>0</v>
      </c>
      <c r="P756" s="61">
        <f t="shared" si="3851"/>
        <v>0</v>
      </c>
      <c r="Q756" s="61">
        <f t="shared" si="3851"/>
        <v>0</v>
      </c>
      <c r="R756" s="61">
        <f t="shared" ref="R756:T756" si="3852">IF(BK756=0,SUM(AA756+AD756+AG756+AJ756+AM756+AP756+AS756+AV756+AY756+BB756+BE756+BH756),BK756)</f>
        <v>0</v>
      </c>
      <c r="S756" s="61">
        <f t="shared" si="3852"/>
        <v>0</v>
      </c>
      <c r="T756" s="61">
        <f t="shared" si="3852"/>
        <v>0</v>
      </c>
      <c r="U756" s="63">
        <f t="shared" si="3810"/>
        <v>0</v>
      </c>
      <c r="V756" s="63">
        <f t="shared" si="3811"/>
        <v>0</v>
      </c>
      <c r="W756" s="208">
        <f t="shared" si="3812"/>
        <v>0</v>
      </c>
      <c r="X756" s="64">
        <f t="shared" ref="X756:Y756" si="3853">IF(O756&gt;0,O756/K756,0)</f>
        <v>0</v>
      </c>
      <c r="Y756" s="64">
        <f t="shared" si="3853"/>
        <v>0</v>
      </c>
      <c r="Z756" s="64">
        <f t="shared" si="3511"/>
        <v>0</v>
      </c>
      <c r="AA756" s="65"/>
      <c r="AB756" s="65"/>
      <c r="AC756" s="65"/>
      <c r="AD756" s="65"/>
      <c r="AE756" s="66"/>
      <c r="AF756" s="66"/>
      <c r="AG756" s="66"/>
      <c r="AH756" s="66"/>
      <c r="AI756" s="65"/>
      <c r="AJ756" s="65"/>
      <c r="AK756" s="65"/>
      <c r="AL756" s="65"/>
      <c r="AM756" s="65"/>
      <c r="AN756" s="65"/>
      <c r="AO756" s="65"/>
      <c r="AP756" s="65"/>
      <c r="AQ756" s="65"/>
      <c r="AR756" s="65"/>
      <c r="AS756" s="65"/>
      <c r="AT756" s="65"/>
      <c r="AU756" s="65"/>
      <c r="AV756" s="65"/>
      <c r="AW756" s="65"/>
      <c r="AX756" s="65"/>
      <c r="AY756" s="65"/>
      <c r="AZ756" s="65"/>
      <c r="BA756" s="65"/>
      <c r="BB756" s="65"/>
      <c r="BC756" s="65"/>
      <c r="BD756" s="65"/>
      <c r="BE756" s="65"/>
      <c r="BF756" s="65"/>
      <c r="BG756" s="65"/>
      <c r="BH756" s="65"/>
      <c r="BI756" s="65"/>
      <c r="BJ756" s="65"/>
      <c r="BK756" s="65">
        <v>0</v>
      </c>
      <c r="BL756" s="65">
        <v>0</v>
      </c>
      <c r="BM756" s="65">
        <v>0</v>
      </c>
      <c r="BN756" s="65">
        <f t="shared" si="3814"/>
        <v>0</v>
      </c>
      <c r="BO756" s="67">
        <f t="shared" si="3815"/>
        <v>0</v>
      </c>
      <c r="BP756" s="65">
        <f t="shared" si="3816"/>
        <v>0</v>
      </c>
      <c r="BQ756" s="65">
        <f t="shared" si="3817"/>
        <v>0</v>
      </c>
      <c r="BR756" s="65">
        <f t="shared" si="3818"/>
        <v>0</v>
      </c>
      <c r="BS756" s="65">
        <f t="shared" si="3819"/>
        <v>0</v>
      </c>
      <c r="BT756" s="65">
        <f t="shared" si="3820"/>
        <v>0</v>
      </c>
      <c r="BU756" s="65">
        <f t="shared" si="3821"/>
        <v>0</v>
      </c>
      <c r="BV756" s="65">
        <f t="shared" si="3822"/>
        <v>0</v>
      </c>
      <c r="BW756" s="65">
        <f t="shared" si="3823"/>
        <v>0</v>
      </c>
      <c r="BX756" s="6"/>
      <c r="BY756" s="6"/>
      <c r="BZ756" s="6"/>
      <c r="CA756" s="6"/>
      <c r="CB756" s="6"/>
      <c r="CC756" s="6"/>
      <c r="CD756" s="6"/>
      <c r="CE756" s="6"/>
      <c r="CF756" s="6"/>
      <c r="CG756" s="6"/>
    </row>
    <row r="757" spans="1:85" ht="15.75">
      <c r="A757" s="217"/>
      <c r="B757" s="218"/>
      <c r="C757" s="219"/>
      <c r="D757" s="220" t="s">
        <v>137</v>
      </c>
      <c r="E757" s="213">
        <f t="shared" ref="E757:H757" si="3854">SUM(E758)</f>
        <v>0</v>
      </c>
      <c r="F757" s="214">
        <f t="shared" si="3854"/>
        <v>0</v>
      </c>
      <c r="G757" s="214">
        <f t="shared" si="3854"/>
        <v>0</v>
      </c>
      <c r="H757" s="214">
        <f t="shared" si="3854"/>
        <v>0</v>
      </c>
      <c r="I757" s="215">
        <f t="shared" si="3007"/>
        <v>0</v>
      </c>
      <c r="J757" s="215">
        <f t="shared" si="2705"/>
        <v>0</v>
      </c>
      <c r="K757" s="214">
        <f t="shared" ref="K757:W757" si="3855">SUM(K758)</f>
        <v>0</v>
      </c>
      <c r="L757" s="214">
        <f t="shared" si="3855"/>
        <v>12549.48</v>
      </c>
      <c r="M757" s="214">
        <f t="shared" si="3855"/>
        <v>0</v>
      </c>
      <c r="N757" s="214">
        <f t="shared" si="3855"/>
        <v>0</v>
      </c>
      <c r="O757" s="214">
        <f t="shared" si="3855"/>
        <v>0</v>
      </c>
      <c r="P757" s="214">
        <f t="shared" si="3855"/>
        <v>12549.48</v>
      </c>
      <c r="Q757" s="214">
        <f t="shared" si="3855"/>
        <v>0</v>
      </c>
      <c r="R757" s="214">
        <f t="shared" si="3855"/>
        <v>0</v>
      </c>
      <c r="S757" s="214">
        <f t="shared" si="3855"/>
        <v>12549.48</v>
      </c>
      <c r="T757" s="214">
        <f t="shared" si="3855"/>
        <v>0</v>
      </c>
      <c r="U757" s="214">
        <f t="shared" si="3855"/>
        <v>0</v>
      </c>
      <c r="V757" s="214">
        <f t="shared" si="3855"/>
        <v>0</v>
      </c>
      <c r="W757" s="214">
        <f t="shared" si="3855"/>
        <v>0</v>
      </c>
      <c r="X757" s="216">
        <f t="shared" ref="X757:Y757" si="3856">IF(O757&gt;0,O757/K757,0)</f>
        <v>0</v>
      </c>
      <c r="Y757" s="216">
        <f t="shared" si="3856"/>
        <v>1</v>
      </c>
      <c r="Z757" s="216">
        <f t="shared" si="3511"/>
        <v>0</v>
      </c>
      <c r="AA757" s="214">
        <f t="shared" ref="AA757:BW757" si="3857">SUM(AA758)</f>
        <v>0</v>
      </c>
      <c r="AB757" s="214">
        <f t="shared" si="3857"/>
        <v>0</v>
      </c>
      <c r="AC757" s="214">
        <f t="shared" si="3857"/>
        <v>0</v>
      </c>
      <c r="AD757" s="214">
        <f t="shared" si="3857"/>
        <v>0</v>
      </c>
      <c r="AE757" s="214">
        <f t="shared" si="3857"/>
        <v>12549.48</v>
      </c>
      <c r="AF757" s="214">
        <f t="shared" si="3857"/>
        <v>0</v>
      </c>
      <c r="AG757" s="214">
        <f t="shared" si="3857"/>
        <v>0</v>
      </c>
      <c r="AH757" s="214">
        <f t="shared" si="3857"/>
        <v>0</v>
      </c>
      <c r="AI757" s="214">
        <f t="shared" si="3857"/>
        <v>0</v>
      </c>
      <c r="AJ757" s="214">
        <f t="shared" si="3857"/>
        <v>0</v>
      </c>
      <c r="AK757" s="214">
        <f t="shared" si="3857"/>
        <v>0</v>
      </c>
      <c r="AL757" s="214">
        <f t="shared" si="3857"/>
        <v>0</v>
      </c>
      <c r="AM757" s="214">
        <f t="shared" si="3857"/>
        <v>0</v>
      </c>
      <c r="AN757" s="214">
        <f t="shared" si="3857"/>
        <v>0</v>
      </c>
      <c r="AO757" s="214">
        <f t="shared" si="3857"/>
        <v>0</v>
      </c>
      <c r="AP757" s="214">
        <f t="shared" si="3857"/>
        <v>0</v>
      </c>
      <c r="AQ757" s="214">
        <f t="shared" si="3857"/>
        <v>0</v>
      </c>
      <c r="AR757" s="214">
        <f t="shared" si="3857"/>
        <v>0</v>
      </c>
      <c r="AS757" s="214">
        <f t="shared" si="3857"/>
        <v>0</v>
      </c>
      <c r="AT757" s="214">
        <f t="shared" si="3857"/>
        <v>0</v>
      </c>
      <c r="AU757" s="214">
        <f t="shared" si="3857"/>
        <v>0</v>
      </c>
      <c r="AV757" s="214">
        <f t="shared" si="3857"/>
        <v>0</v>
      </c>
      <c r="AW757" s="214">
        <f t="shared" si="3857"/>
        <v>0</v>
      </c>
      <c r="AX757" s="214">
        <f t="shared" si="3857"/>
        <v>0</v>
      </c>
      <c r="AY757" s="214">
        <f t="shared" si="3857"/>
        <v>0</v>
      </c>
      <c r="AZ757" s="214">
        <f t="shared" si="3857"/>
        <v>0</v>
      </c>
      <c r="BA757" s="214">
        <f t="shared" si="3857"/>
        <v>0</v>
      </c>
      <c r="BB757" s="214">
        <f t="shared" si="3857"/>
        <v>0</v>
      </c>
      <c r="BC757" s="214">
        <f t="shared" si="3857"/>
        <v>0</v>
      </c>
      <c r="BD757" s="214">
        <f t="shared" si="3857"/>
        <v>0</v>
      </c>
      <c r="BE757" s="214">
        <f t="shared" si="3857"/>
        <v>0</v>
      </c>
      <c r="BF757" s="214">
        <f t="shared" si="3857"/>
        <v>0</v>
      </c>
      <c r="BG757" s="214">
        <f t="shared" si="3857"/>
        <v>0</v>
      </c>
      <c r="BH757" s="214">
        <f t="shared" si="3857"/>
        <v>0</v>
      </c>
      <c r="BI757" s="214">
        <f t="shared" si="3857"/>
        <v>0</v>
      </c>
      <c r="BJ757" s="214">
        <f t="shared" si="3857"/>
        <v>0</v>
      </c>
      <c r="BK757" s="214">
        <f t="shared" si="3857"/>
        <v>0</v>
      </c>
      <c r="BL757" s="214">
        <f t="shared" si="3857"/>
        <v>0</v>
      </c>
      <c r="BM757" s="214">
        <f t="shared" si="3857"/>
        <v>0</v>
      </c>
      <c r="BN757" s="214">
        <f t="shared" si="3857"/>
        <v>0</v>
      </c>
      <c r="BO757" s="214">
        <f t="shared" si="3857"/>
        <v>0</v>
      </c>
      <c r="BP757" s="214">
        <f t="shared" si="3857"/>
        <v>0</v>
      </c>
      <c r="BQ757" s="214">
        <f t="shared" si="3857"/>
        <v>0</v>
      </c>
      <c r="BR757" s="214">
        <f t="shared" si="3857"/>
        <v>0</v>
      </c>
      <c r="BS757" s="214">
        <f t="shared" si="3857"/>
        <v>0</v>
      </c>
      <c r="BT757" s="214">
        <f t="shared" si="3857"/>
        <v>0</v>
      </c>
      <c r="BU757" s="214">
        <f t="shared" si="3857"/>
        <v>0</v>
      </c>
      <c r="BV757" s="214">
        <f t="shared" si="3857"/>
        <v>0</v>
      </c>
      <c r="BW757" s="214">
        <f t="shared" si="3857"/>
        <v>0</v>
      </c>
      <c r="BX757" s="51"/>
      <c r="BY757" s="51"/>
      <c r="BZ757" s="51"/>
      <c r="CA757" s="51"/>
      <c r="CB757" s="51"/>
      <c r="CC757" s="51"/>
      <c r="CD757" s="51"/>
      <c r="CE757" s="51"/>
      <c r="CF757" s="51"/>
      <c r="CG757" s="51"/>
    </row>
    <row r="758" spans="1:85" ht="15.75" customHeight="1">
      <c r="A758" s="68"/>
      <c r="B758" s="68" t="s">
        <v>928</v>
      </c>
      <c r="C758" s="68" t="s">
        <v>138</v>
      </c>
      <c r="D758" s="122" t="s">
        <v>929</v>
      </c>
      <c r="E758" s="99">
        <v>0</v>
      </c>
      <c r="F758" s="99">
        <v>0</v>
      </c>
      <c r="G758" s="58">
        <f>E758-F758</f>
        <v>0</v>
      </c>
      <c r="H758" s="99">
        <v>0</v>
      </c>
      <c r="I758" s="59">
        <f t="shared" si="3007"/>
        <v>0</v>
      </c>
      <c r="J758" s="59">
        <f t="shared" si="2705"/>
        <v>0</v>
      </c>
      <c r="K758" s="74">
        <v>0</v>
      </c>
      <c r="L758" s="74">
        <v>12549.48</v>
      </c>
      <c r="M758" s="74">
        <v>0</v>
      </c>
      <c r="N758" s="74">
        <v>0</v>
      </c>
      <c r="O758" s="61">
        <f t="shared" ref="O758:Q758" si="3858">AA758+AD758+AG758+AJ758+AM758+AP758+AS758+AV758+AY758+BB758+BE758+BH758</f>
        <v>0</v>
      </c>
      <c r="P758" s="61">
        <f t="shared" si="3858"/>
        <v>12549.48</v>
      </c>
      <c r="Q758" s="61">
        <f t="shared" si="3858"/>
        <v>0</v>
      </c>
      <c r="R758" s="61">
        <f t="shared" ref="R758:T758" si="3859">IF(BK758=0,SUM(AA758+AD758+AG758+AJ758+AM758+AP758+AS758+AV758+AY758+BB758+BE758+BH758),BK758)</f>
        <v>0</v>
      </c>
      <c r="S758" s="61">
        <f t="shared" si="3859"/>
        <v>12549.48</v>
      </c>
      <c r="T758" s="61">
        <f t="shared" si="3859"/>
        <v>0</v>
      </c>
      <c r="U758" s="63">
        <f>K758-O758</f>
        <v>0</v>
      </c>
      <c r="V758" s="63">
        <f>L758-M758-S758</f>
        <v>0</v>
      </c>
      <c r="W758" s="208">
        <f>N758-Q758</f>
        <v>0</v>
      </c>
      <c r="X758" s="64">
        <f t="shared" ref="X758:Y758" si="3860">IF(O758&gt;0,O758/K758,0)</f>
        <v>0</v>
      </c>
      <c r="Y758" s="64">
        <f t="shared" si="3860"/>
        <v>1</v>
      </c>
      <c r="Z758" s="64">
        <f t="shared" si="3511"/>
        <v>0</v>
      </c>
      <c r="AA758" s="65"/>
      <c r="AB758" s="65"/>
      <c r="AC758" s="65"/>
      <c r="AD758" s="65"/>
      <c r="AE758" s="113">
        <v>12549.48</v>
      </c>
      <c r="AF758" s="66"/>
      <c r="AG758" s="66"/>
      <c r="AH758" s="66"/>
      <c r="AI758" s="65"/>
      <c r="AJ758" s="65"/>
      <c r="AK758" s="65"/>
      <c r="AL758" s="65"/>
      <c r="AM758" s="65"/>
      <c r="AN758" s="65"/>
      <c r="AO758" s="65"/>
      <c r="AP758" s="65"/>
      <c r="AQ758" s="65"/>
      <c r="AR758" s="65"/>
      <c r="AS758" s="65"/>
      <c r="AT758" s="65"/>
      <c r="AU758" s="65"/>
      <c r="AV758" s="65"/>
      <c r="AW758" s="65"/>
      <c r="AX758" s="65"/>
      <c r="AY758" s="65"/>
      <c r="AZ758" s="65"/>
      <c r="BA758" s="65"/>
      <c r="BB758" s="65"/>
      <c r="BC758" s="65"/>
      <c r="BD758" s="65"/>
      <c r="BE758" s="65"/>
      <c r="BF758" s="65"/>
      <c r="BG758" s="65"/>
      <c r="BH758" s="65"/>
      <c r="BI758" s="65"/>
      <c r="BJ758" s="65"/>
      <c r="BK758" s="65">
        <v>0</v>
      </c>
      <c r="BL758" s="65">
        <v>0</v>
      </c>
      <c r="BM758" s="65">
        <v>0</v>
      </c>
      <c r="BN758" s="65">
        <f>IF(O758-BK758&gt;0,O758-BK758,0)</f>
        <v>0</v>
      </c>
      <c r="BO758" s="67">
        <f>IF(Q758-BM758&gt;0,Q758-BM758,0)</f>
        <v>0</v>
      </c>
      <c r="BP758" s="65">
        <f>IF(BN758+BO758&gt;0,BN758+BO758,0)</f>
        <v>0</v>
      </c>
      <c r="BQ758" s="65">
        <f>IF(U758=0,0,U758)</f>
        <v>0</v>
      </c>
      <c r="BR758" s="65">
        <f>IF(W758=0,0,W758)</f>
        <v>0</v>
      </c>
      <c r="BS758" s="65">
        <f>IF(BQ758+BR758&gt;0,BQ758+BR758,0)</f>
        <v>0</v>
      </c>
      <c r="BT758" s="65">
        <f>IF(V758&gt;0,V758,0)</f>
        <v>0</v>
      </c>
      <c r="BU758" s="65">
        <f>IF(BP758=0,0,BP758)</f>
        <v>0</v>
      </c>
      <c r="BV758" s="65">
        <f>IF(BS758=0,0,BS758)</f>
        <v>0</v>
      </c>
      <c r="BW758" s="65">
        <f>IF(BP758+BT758+BV758&gt;0,BP758+BT758+BV758,0)</f>
        <v>0</v>
      </c>
      <c r="BX758" s="6"/>
      <c r="BY758" s="6"/>
      <c r="BZ758" s="6"/>
      <c r="CA758" s="6"/>
      <c r="CB758" s="6"/>
      <c r="CC758" s="6"/>
      <c r="CD758" s="6"/>
      <c r="CE758" s="6"/>
      <c r="CF758" s="6"/>
      <c r="CG758" s="6"/>
    </row>
    <row r="759" spans="1:85" ht="15.75">
      <c r="A759" s="217"/>
      <c r="B759" s="218"/>
      <c r="C759" s="219"/>
      <c r="D759" s="220" t="s">
        <v>729</v>
      </c>
      <c r="E759" s="213">
        <f t="shared" ref="E759:H759" si="3861">SUM(E760)</f>
        <v>0</v>
      </c>
      <c r="F759" s="214">
        <f t="shared" si="3861"/>
        <v>0</v>
      </c>
      <c r="G759" s="214">
        <f t="shared" si="3861"/>
        <v>0</v>
      </c>
      <c r="H759" s="214">
        <f t="shared" si="3861"/>
        <v>0</v>
      </c>
      <c r="I759" s="215">
        <f t="shared" si="3007"/>
        <v>0</v>
      </c>
      <c r="J759" s="215">
        <f t="shared" si="2705"/>
        <v>0</v>
      </c>
      <c r="K759" s="214">
        <f t="shared" ref="K759:W759" si="3862">SUM(K760)</f>
        <v>0</v>
      </c>
      <c r="L759" s="214">
        <f t="shared" si="3862"/>
        <v>0</v>
      </c>
      <c r="M759" s="214">
        <f t="shared" si="3862"/>
        <v>0</v>
      </c>
      <c r="N759" s="214">
        <f t="shared" si="3862"/>
        <v>0</v>
      </c>
      <c r="O759" s="214">
        <f t="shared" si="3862"/>
        <v>0</v>
      </c>
      <c r="P759" s="214">
        <f t="shared" si="3862"/>
        <v>0</v>
      </c>
      <c r="Q759" s="214">
        <f t="shared" si="3862"/>
        <v>0</v>
      </c>
      <c r="R759" s="214">
        <f t="shared" si="3862"/>
        <v>0</v>
      </c>
      <c r="S759" s="214">
        <f t="shared" si="3862"/>
        <v>0</v>
      </c>
      <c r="T759" s="214">
        <f t="shared" si="3862"/>
        <v>0</v>
      </c>
      <c r="U759" s="214">
        <f t="shared" si="3862"/>
        <v>0</v>
      </c>
      <c r="V759" s="214">
        <f t="shared" si="3862"/>
        <v>0</v>
      </c>
      <c r="W759" s="214">
        <f t="shared" si="3862"/>
        <v>0</v>
      </c>
      <c r="X759" s="216">
        <f t="shared" ref="X759:Y759" si="3863">IF(O759&gt;0,O759/K759,0)</f>
        <v>0</v>
      </c>
      <c r="Y759" s="216">
        <f t="shared" si="3863"/>
        <v>0</v>
      </c>
      <c r="Z759" s="216">
        <f t="shared" si="3511"/>
        <v>0</v>
      </c>
      <c r="AA759" s="214">
        <f t="shared" ref="AA759:BW759" si="3864">SUM(AA760)</f>
        <v>0</v>
      </c>
      <c r="AB759" s="214">
        <f t="shared" si="3864"/>
        <v>0</v>
      </c>
      <c r="AC759" s="214">
        <f t="shared" si="3864"/>
        <v>0</v>
      </c>
      <c r="AD759" s="214">
        <f t="shared" si="3864"/>
        <v>0</v>
      </c>
      <c r="AE759" s="214">
        <f t="shared" si="3864"/>
        <v>0</v>
      </c>
      <c r="AF759" s="214">
        <f t="shared" si="3864"/>
        <v>0</v>
      </c>
      <c r="AG759" s="214">
        <f t="shared" si="3864"/>
        <v>0</v>
      </c>
      <c r="AH759" s="214">
        <f t="shared" si="3864"/>
        <v>0</v>
      </c>
      <c r="AI759" s="214">
        <f t="shared" si="3864"/>
        <v>0</v>
      </c>
      <c r="AJ759" s="214">
        <f t="shared" si="3864"/>
        <v>0</v>
      </c>
      <c r="AK759" s="214">
        <f t="shared" si="3864"/>
        <v>0</v>
      </c>
      <c r="AL759" s="214">
        <f t="shared" si="3864"/>
        <v>0</v>
      </c>
      <c r="AM759" s="214">
        <f t="shared" si="3864"/>
        <v>0</v>
      </c>
      <c r="AN759" s="214">
        <f t="shared" si="3864"/>
        <v>0</v>
      </c>
      <c r="AO759" s="214">
        <f t="shared" si="3864"/>
        <v>0</v>
      </c>
      <c r="AP759" s="214">
        <f t="shared" si="3864"/>
        <v>0</v>
      </c>
      <c r="AQ759" s="214">
        <f t="shared" si="3864"/>
        <v>0</v>
      </c>
      <c r="AR759" s="214">
        <f t="shared" si="3864"/>
        <v>0</v>
      </c>
      <c r="AS759" s="214">
        <f t="shared" si="3864"/>
        <v>0</v>
      </c>
      <c r="AT759" s="214">
        <f t="shared" si="3864"/>
        <v>0</v>
      </c>
      <c r="AU759" s="214">
        <f t="shared" si="3864"/>
        <v>0</v>
      </c>
      <c r="AV759" s="214">
        <f t="shared" si="3864"/>
        <v>0</v>
      </c>
      <c r="AW759" s="214">
        <f t="shared" si="3864"/>
        <v>0</v>
      </c>
      <c r="AX759" s="214">
        <f t="shared" si="3864"/>
        <v>0</v>
      </c>
      <c r="AY759" s="214">
        <f t="shared" si="3864"/>
        <v>0</v>
      </c>
      <c r="AZ759" s="214">
        <f t="shared" si="3864"/>
        <v>0</v>
      </c>
      <c r="BA759" s="214">
        <f t="shared" si="3864"/>
        <v>0</v>
      </c>
      <c r="BB759" s="214">
        <f t="shared" si="3864"/>
        <v>0</v>
      </c>
      <c r="BC759" s="214">
        <f t="shared" si="3864"/>
        <v>0</v>
      </c>
      <c r="BD759" s="214">
        <f t="shared" si="3864"/>
        <v>0</v>
      </c>
      <c r="BE759" s="214">
        <f t="shared" si="3864"/>
        <v>0</v>
      </c>
      <c r="BF759" s="214">
        <f t="shared" si="3864"/>
        <v>0</v>
      </c>
      <c r="BG759" s="214">
        <f t="shared" si="3864"/>
        <v>0</v>
      </c>
      <c r="BH759" s="214">
        <f t="shared" si="3864"/>
        <v>0</v>
      </c>
      <c r="BI759" s="214">
        <f t="shared" si="3864"/>
        <v>0</v>
      </c>
      <c r="BJ759" s="214">
        <f t="shared" si="3864"/>
        <v>0</v>
      </c>
      <c r="BK759" s="214">
        <f t="shared" si="3864"/>
        <v>0</v>
      </c>
      <c r="BL759" s="214">
        <f t="shared" si="3864"/>
        <v>0</v>
      </c>
      <c r="BM759" s="214">
        <f t="shared" si="3864"/>
        <v>0</v>
      </c>
      <c r="BN759" s="214">
        <f t="shared" si="3864"/>
        <v>0</v>
      </c>
      <c r="BO759" s="214">
        <f t="shared" si="3864"/>
        <v>0</v>
      </c>
      <c r="BP759" s="214">
        <f t="shared" si="3864"/>
        <v>0</v>
      </c>
      <c r="BQ759" s="214">
        <f t="shared" si="3864"/>
        <v>0</v>
      </c>
      <c r="BR759" s="214">
        <f t="shared" si="3864"/>
        <v>0</v>
      </c>
      <c r="BS759" s="214">
        <f t="shared" si="3864"/>
        <v>0</v>
      </c>
      <c r="BT759" s="214">
        <f t="shared" si="3864"/>
        <v>0</v>
      </c>
      <c r="BU759" s="214">
        <f t="shared" si="3864"/>
        <v>0</v>
      </c>
      <c r="BV759" s="214">
        <f t="shared" si="3864"/>
        <v>0</v>
      </c>
      <c r="BW759" s="214">
        <f t="shared" si="3864"/>
        <v>0</v>
      </c>
      <c r="BX759" s="51"/>
      <c r="BY759" s="51"/>
      <c r="BZ759" s="51"/>
      <c r="CA759" s="51"/>
      <c r="CB759" s="51"/>
      <c r="CC759" s="51"/>
      <c r="CD759" s="51"/>
      <c r="CE759" s="51"/>
      <c r="CF759" s="51"/>
      <c r="CG759" s="51"/>
    </row>
    <row r="760" spans="1:85" ht="15.75" customHeight="1">
      <c r="A760" s="196"/>
      <c r="B760" s="169"/>
      <c r="C760" s="68" t="s">
        <v>867</v>
      </c>
      <c r="D760" s="380" t="s">
        <v>930</v>
      </c>
      <c r="E760" s="99">
        <v>0</v>
      </c>
      <c r="F760" s="99">
        <v>0</v>
      </c>
      <c r="G760" s="58">
        <f>E760-F760</f>
        <v>0</v>
      </c>
      <c r="H760" s="99">
        <v>0</v>
      </c>
      <c r="I760" s="59">
        <f t="shared" si="3007"/>
        <v>0</v>
      </c>
      <c r="J760" s="59">
        <f t="shared" si="2705"/>
        <v>0</v>
      </c>
      <c r="K760" s="74">
        <v>0</v>
      </c>
      <c r="L760" s="74">
        <v>0</v>
      </c>
      <c r="M760" s="74">
        <v>0</v>
      </c>
      <c r="N760" s="74">
        <v>0</v>
      </c>
      <c r="O760" s="61">
        <f t="shared" ref="O760:Q760" si="3865">AA760+AD760+AG760+AJ760+AM760+AP760+AS760+AV760+AY760+BB760+BE760+BH760</f>
        <v>0</v>
      </c>
      <c r="P760" s="61">
        <f t="shared" si="3865"/>
        <v>0</v>
      </c>
      <c r="Q760" s="61">
        <f t="shared" si="3865"/>
        <v>0</v>
      </c>
      <c r="R760" s="61">
        <f t="shared" ref="R760:T760" si="3866">IF(BK760=0,SUM(AA760+AD760+AG760+AJ760+AM760+AP760+AS760+AV760+AY760+BB760+BE760+BH760),BK760)</f>
        <v>0</v>
      </c>
      <c r="S760" s="61">
        <f t="shared" si="3866"/>
        <v>0</v>
      </c>
      <c r="T760" s="61">
        <f t="shared" si="3866"/>
        <v>0</v>
      </c>
      <c r="U760" s="63">
        <f>K760-O760</f>
        <v>0</v>
      </c>
      <c r="V760" s="63">
        <f>L760-M760-S760</f>
        <v>0</v>
      </c>
      <c r="W760" s="63">
        <f>N760-Q760</f>
        <v>0</v>
      </c>
      <c r="X760" s="64">
        <f t="shared" ref="X760:Y760" si="3867">IF(O760&gt;0,O760/K760,0)</f>
        <v>0</v>
      </c>
      <c r="Y760" s="64">
        <f t="shared" si="3867"/>
        <v>0</v>
      </c>
      <c r="Z760" s="64">
        <f t="shared" si="3511"/>
        <v>0</v>
      </c>
      <c r="AA760" s="65"/>
      <c r="AB760" s="65"/>
      <c r="AC760" s="65"/>
      <c r="AD760" s="65"/>
      <c r="AE760" s="66"/>
      <c r="AF760" s="66"/>
      <c r="AG760" s="66"/>
      <c r="AH760" s="66"/>
      <c r="AI760" s="65"/>
      <c r="AJ760" s="65"/>
      <c r="AK760" s="65"/>
      <c r="AL760" s="65"/>
      <c r="AM760" s="65"/>
      <c r="AN760" s="65"/>
      <c r="AO760" s="65"/>
      <c r="AP760" s="65"/>
      <c r="AQ760" s="65"/>
      <c r="AR760" s="65"/>
      <c r="AS760" s="65"/>
      <c r="AT760" s="65"/>
      <c r="AU760" s="65"/>
      <c r="AV760" s="65"/>
      <c r="AW760" s="65"/>
      <c r="AX760" s="65"/>
      <c r="AY760" s="65"/>
      <c r="AZ760" s="65"/>
      <c r="BA760" s="65"/>
      <c r="BB760" s="65"/>
      <c r="BC760" s="65"/>
      <c r="BD760" s="65"/>
      <c r="BE760" s="65"/>
      <c r="BF760" s="65"/>
      <c r="BG760" s="65"/>
      <c r="BH760" s="65"/>
      <c r="BI760" s="65"/>
      <c r="BJ760" s="65"/>
      <c r="BK760" s="65">
        <v>0</v>
      </c>
      <c r="BL760" s="65">
        <v>0</v>
      </c>
      <c r="BM760" s="65">
        <v>0</v>
      </c>
      <c r="BN760" s="65">
        <f>IF(O760-BK760&gt;0,O760-BK760,0)</f>
        <v>0</v>
      </c>
      <c r="BO760" s="67">
        <f>IF(Q760-BM760&gt;0,Q760-BM760,0)</f>
        <v>0</v>
      </c>
      <c r="BP760" s="65">
        <f>IF(BN760+BO760&gt;0,BN760+BO760,0)</f>
        <v>0</v>
      </c>
      <c r="BQ760" s="65">
        <f>IF(U760=0,0,U760)</f>
        <v>0</v>
      </c>
      <c r="BR760" s="65">
        <f>IF(W760=0,0,W760)</f>
        <v>0</v>
      </c>
      <c r="BS760" s="65">
        <f>IF(BQ760+BR760&gt;0,BQ760+BR760,0)</f>
        <v>0</v>
      </c>
      <c r="BT760" s="65">
        <f>IF(V760&gt;0,V760,0)</f>
        <v>0</v>
      </c>
      <c r="BU760" s="65">
        <f>IF(BP760=0,0,BP760)</f>
        <v>0</v>
      </c>
      <c r="BV760" s="65">
        <f>IF(BS760=0,0,BS760)</f>
        <v>0</v>
      </c>
      <c r="BW760" s="65">
        <f>IF(BP760+BT760+BV760&gt;0,BP760+BT760+BV760,0)</f>
        <v>0</v>
      </c>
      <c r="BX760" s="6"/>
      <c r="BY760" s="6"/>
      <c r="BZ760" s="6"/>
      <c r="CA760" s="6"/>
      <c r="CB760" s="6"/>
      <c r="CC760" s="6"/>
      <c r="CD760" s="6"/>
      <c r="CE760" s="6"/>
      <c r="CF760" s="6"/>
      <c r="CG760" s="6"/>
    </row>
    <row r="761" spans="1:85" ht="15.75">
      <c r="A761" s="224"/>
      <c r="B761" s="225"/>
      <c r="C761" s="225"/>
      <c r="D761" s="227"/>
      <c r="E761" s="228"/>
      <c r="F761" s="289"/>
      <c r="G761" s="289"/>
      <c r="H761" s="289"/>
      <c r="I761" s="231"/>
      <c r="J761" s="231"/>
      <c r="K761" s="289"/>
      <c r="L761" s="290"/>
      <c r="M761" s="290"/>
      <c r="N761" s="289"/>
      <c r="O761" s="290"/>
      <c r="P761" s="290"/>
      <c r="Q761" s="290"/>
      <c r="R761" s="290"/>
      <c r="S761" s="290"/>
      <c r="T761" s="290"/>
      <c r="U761" s="289"/>
      <c r="V761" s="289"/>
      <c r="W761" s="290"/>
      <c r="X761" s="231"/>
      <c r="Y761" s="231"/>
      <c r="Z761" s="231"/>
      <c r="AA761" s="290"/>
      <c r="AB761" s="290"/>
      <c r="AC761" s="290"/>
      <c r="AD761" s="290"/>
      <c r="AE761" s="290"/>
      <c r="AF761" s="290"/>
      <c r="AG761" s="290"/>
      <c r="AH761" s="290"/>
      <c r="AI761" s="290"/>
      <c r="AJ761" s="290"/>
      <c r="AK761" s="290"/>
      <c r="AL761" s="290"/>
      <c r="AM761" s="290"/>
      <c r="AN761" s="290"/>
      <c r="AO761" s="290"/>
      <c r="AP761" s="290"/>
      <c r="AQ761" s="290"/>
      <c r="AR761" s="290"/>
      <c r="AS761" s="290"/>
      <c r="AT761" s="290"/>
      <c r="AU761" s="290"/>
      <c r="AV761" s="290"/>
      <c r="AW761" s="290"/>
      <c r="AX761" s="290"/>
      <c r="AY761" s="290"/>
      <c r="AZ761" s="290"/>
      <c r="BA761" s="290"/>
      <c r="BB761" s="290"/>
      <c r="BC761" s="290"/>
      <c r="BD761" s="290"/>
      <c r="BE761" s="290"/>
      <c r="BF761" s="290"/>
      <c r="BG761" s="290"/>
      <c r="BH761" s="290"/>
      <c r="BI761" s="290"/>
      <c r="BJ761" s="290"/>
      <c r="BK761" s="290"/>
      <c r="BL761" s="290"/>
      <c r="BM761" s="290"/>
      <c r="BN761" s="290"/>
      <c r="BO761" s="290"/>
      <c r="BP761" s="290"/>
      <c r="BQ761" s="290"/>
      <c r="BR761" s="290"/>
      <c r="BS761" s="290"/>
      <c r="BT761" s="290"/>
      <c r="BU761" s="290"/>
      <c r="BV761" s="290"/>
      <c r="BW761" s="290"/>
      <c r="BX761" s="6"/>
      <c r="BY761" s="6"/>
      <c r="BZ761" s="6"/>
      <c r="CA761" s="6"/>
      <c r="CB761" s="6"/>
      <c r="CC761" s="6"/>
      <c r="CD761" s="6"/>
      <c r="CE761" s="6"/>
      <c r="CF761" s="6"/>
      <c r="CG761" s="6"/>
    </row>
    <row r="762" spans="1:85" ht="15.75">
      <c r="A762" s="383"/>
      <c r="B762" s="29" t="s">
        <v>931</v>
      </c>
      <c r="C762" s="29"/>
      <c r="D762" s="30"/>
      <c r="E762" s="31">
        <f t="shared" ref="E762:H762" si="3868">SUM(E763:E770)</f>
        <v>0</v>
      </c>
      <c r="F762" s="31">
        <f t="shared" si="3868"/>
        <v>0</v>
      </c>
      <c r="G762" s="31">
        <f t="shared" si="3868"/>
        <v>0</v>
      </c>
      <c r="H762" s="31">
        <f t="shared" si="3868"/>
        <v>0</v>
      </c>
      <c r="I762" s="32" t="e">
        <f>K762/G762</f>
        <v>#DIV/0!</v>
      </c>
      <c r="J762" s="32" t="e">
        <f>O762/G762</f>
        <v>#DIV/0!</v>
      </c>
      <c r="K762" s="384">
        <f t="shared" ref="K762:W762" si="3869">SUM(K763:K770)</f>
        <v>747067.58000000007</v>
      </c>
      <c r="L762" s="384">
        <f t="shared" si="3869"/>
        <v>0</v>
      </c>
      <c r="M762" s="384">
        <f t="shared" si="3869"/>
        <v>0</v>
      </c>
      <c r="N762" s="384">
        <f t="shared" si="3869"/>
        <v>0</v>
      </c>
      <c r="O762" s="384">
        <f t="shared" si="3869"/>
        <v>0</v>
      </c>
      <c r="P762" s="384">
        <f t="shared" si="3869"/>
        <v>0</v>
      </c>
      <c r="Q762" s="384">
        <f t="shared" si="3869"/>
        <v>0</v>
      </c>
      <c r="R762" s="384">
        <f t="shared" si="3869"/>
        <v>0</v>
      </c>
      <c r="S762" s="384">
        <f t="shared" si="3869"/>
        <v>0</v>
      </c>
      <c r="T762" s="384">
        <f t="shared" si="3869"/>
        <v>0</v>
      </c>
      <c r="U762" s="384">
        <f t="shared" si="3869"/>
        <v>747067.58000000007</v>
      </c>
      <c r="V762" s="384">
        <f t="shared" si="3869"/>
        <v>0</v>
      </c>
      <c r="W762" s="384">
        <f t="shared" si="3869"/>
        <v>0</v>
      </c>
      <c r="X762" s="32">
        <f t="shared" ref="X762:Y762" si="3870">IF(O762&gt;0,O762/K762,0)</f>
        <v>0</v>
      </c>
      <c r="Y762" s="32">
        <f t="shared" si="3870"/>
        <v>0</v>
      </c>
      <c r="Z762" s="32">
        <f t="shared" ref="Z762:Z771" si="3871">IF(Q762&gt;0,Q762/N762,0)</f>
        <v>0</v>
      </c>
      <c r="AA762" s="384">
        <f t="shared" ref="AA762:BW762" si="3872">SUM(AA763:AA770)</f>
        <v>0</v>
      </c>
      <c r="AB762" s="384">
        <f t="shared" si="3872"/>
        <v>0</v>
      </c>
      <c r="AC762" s="384">
        <f t="shared" si="3872"/>
        <v>0</v>
      </c>
      <c r="AD762" s="384">
        <f t="shared" si="3872"/>
        <v>0</v>
      </c>
      <c r="AE762" s="384">
        <f t="shared" si="3872"/>
        <v>0</v>
      </c>
      <c r="AF762" s="384">
        <f t="shared" si="3872"/>
        <v>0</v>
      </c>
      <c r="AG762" s="384">
        <f t="shared" si="3872"/>
        <v>0</v>
      </c>
      <c r="AH762" s="384">
        <f t="shared" si="3872"/>
        <v>0</v>
      </c>
      <c r="AI762" s="384">
        <f t="shared" si="3872"/>
        <v>0</v>
      </c>
      <c r="AJ762" s="384">
        <f t="shared" si="3872"/>
        <v>0</v>
      </c>
      <c r="AK762" s="384">
        <f t="shared" si="3872"/>
        <v>0</v>
      </c>
      <c r="AL762" s="384">
        <f t="shared" si="3872"/>
        <v>0</v>
      </c>
      <c r="AM762" s="384">
        <f t="shared" si="3872"/>
        <v>0</v>
      </c>
      <c r="AN762" s="384">
        <f t="shared" si="3872"/>
        <v>0</v>
      </c>
      <c r="AO762" s="384">
        <f t="shared" si="3872"/>
        <v>0</v>
      </c>
      <c r="AP762" s="384">
        <f t="shared" si="3872"/>
        <v>0</v>
      </c>
      <c r="AQ762" s="384">
        <f t="shared" si="3872"/>
        <v>0</v>
      </c>
      <c r="AR762" s="384">
        <f t="shared" si="3872"/>
        <v>0</v>
      </c>
      <c r="AS762" s="384">
        <f t="shared" si="3872"/>
        <v>0</v>
      </c>
      <c r="AT762" s="384">
        <f t="shared" si="3872"/>
        <v>0</v>
      </c>
      <c r="AU762" s="384">
        <f t="shared" si="3872"/>
        <v>0</v>
      </c>
      <c r="AV762" s="384">
        <f t="shared" si="3872"/>
        <v>0</v>
      </c>
      <c r="AW762" s="384">
        <f t="shared" si="3872"/>
        <v>0</v>
      </c>
      <c r="AX762" s="384">
        <f t="shared" si="3872"/>
        <v>0</v>
      </c>
      <c r="AY762" s="384">
        <f t="shared" si="3872"/>
        <v>0</v>
      </c>
      <c r="AZ762" s="384">
        <f t="shared" si="3872"/>
        <v>0</v>
      </c>
      <c r="BA762" s="384">
        <f t="shared" si="3872"/>
        <v>0</v>
      </c>
      <c r="BB762" s="384">
        <f t="shared" si="3872"/>
        <v>0</v>
      </c>
      <c r="BC762" s="384">
        <f t="shared" si="3872"/>
        <v>0</v>
      </c>
      <c r="BD762" s="384">
        <f t="shared" si="3872"/>
        <v>0</v>
      </c>
      <c r="BE762" s="384">
        <f t="shared" si="3872"/>
        <v>0</v>
      </c>
      <c r="BF762" s="384">
        <f t="shared" si="3872"/>
        <v>0</v>
      </c>
      <c r="BG762" s="384">
        <f t="shared" si="3872"/>
        <v>0</v>
      </c>
      <c r="BH762" s="384">
        <f t="shared" si="3872"/>
        <v>0</v>
      </c>
      <c r="BI762" s="384">
        <f t="shared" si="3872"/>
        <v>0</v>
      </c>
      <c r="BJ762" s="384">
        <f t="shared" si="3872"/>
        <v>0</v>
      </c>
      <c r="BK762" s="384">
        <f t="shared" si="3872"/>
        <v>0</v>
      </c>
      <c r="BL762" s="384">
        <f t="shared" si="3872"/>
        <v>0</v>
      </c>
      <c r="BM762" s="384">
        <f t="shared" si="3872"/>
        <v>0</v>
      </c>
      <c r="BN762" s="384">
        <f t="shared" si="3872"/>
        <v>0</v>
      </c>
      <c r="BO762" s="384">
        <f t="shared" si="3872"/>
        <v>0</v>
      </c>
      <c r="BP762" s="384">
        <f t="shared" si="3872"/>
        <v>0</v>
      </c>
      <c r="BQ762" s="384">
        <f t="shared" si="3872"/>
        <v>747067.58000000007</v>
      </c>
      <c r="BR762" s="384">
        <f t="shared" si="3872"/>
        <v>0</v>
      </c>
      <c r="BS762" s="384">
        <f t="shared" si="3872"/>
        <v>747067.58000000007</v>
      </c>
      <c r="BT762" s="384">
        <f t="shared" si="3872"/>
        <v>0</v>
      </c>
      <c r="BU762" s="384">
        <f t="shared" si="3872"/>
        <v>0</v>
      </c>
      <c r="BV762" s="384">
        <f t="shared" si="3872"/>
        <v>747067.58000000007</v>
      </c>
      <c r="BW762" s="384">
        <f t="shared" si="3872"/>
        <v>747067.58000000007</v>
      </c>
      <c r="BX762" s="6"/>
      <c r="BY762" s="6"/>
      <c r="BZ762" s="6"/>
      <c r="CA762" s="6"/>
      <c r="CB762" s="6"/>
      <c r="CC762" s="6"/>
      <c r="CD762" s="6"/>
      <c r="CE762" s="6"/>
      <c r="CF762" s="6"/>
      <c r="CG762" s="6"/>
    </row>
    <row r="763" spans="1:85" ht="15.75" customHeight="1">
      <c r="A763" s="385"/>
      <c r="B763" s="386"/>
      <c r="C763" s="68" t="s">
        <v>69</v>
      </c>
      <c r="D763" s="70" t="s">
        <v>70</v>
      </c>
      <c r="E763" s="99">
        <v>0</v>
      </c>
      <c r="F763" s="99">
        <v>0</v>
      </c>
      <c r="G763" s="58">
        <f t="shared" ref="G763:G771" si="3873">E763-F763</f>
        <v>0</v>
      </c>
      <c r="H763" s="99">
        <v>0</v>
      </c>
      <c r="I763" s="59">
        <f t="shared" ref="I763:I770" si="3874">IF(G763&gt;0,K763/G763,0)</f>
        <v>0</v>
      </c>
      <c r="J763" s="59">
        <f t="shared" ref="J763:J770" si="3875">IF(G763&gt;0,O763/G763,0)</f>
        <v>0</v>
      </c>
      <c r="K763" s="74">
        <v>0</v>
      </c>
      <c r="L763" s="74">
        <v>0</v>
      </c>
      <c r="M763" s="74">
        <v>0</v>
      </c>
      <c r="N763" s="74">
        <v>0</v>
      </c>
      <c r="O763" s="61">
        <f t="shared" ref="O763:Q763" si="3876">AA763+AD763+AG763+AJ763+AM763+AP763+AS763+AV763+AY763+BB763+BE763+BH763</f>
        <v>0</v>
      </c>
      <c r="P763" s="61">
        <f t="shared" si="3876"/>
        <v>0</v>
      </c>
      <c r="Q763" s="61">
        <f t="shared" si="3876"/>
        <v>0</v>
      </c>
      <c r="R763" s="61">
        <f t="shared" ref="R763:T763" si="3877">IF(BK763=0,SUM(AA763+AD763+AG763+AJ763+AM763+AP763+AS763+AV763+AY763+BB763+BE763+BH763),BK763)</f>
        <v>0</v>
      </c>
      <c r="S763" s="61">
        <f t="shared" si="3877"/>
        <v>0</v>
      </c>
      <c r="T763" s="61">
        <f t="shared" si="3877"/>
        <v>0</v>
      </c>
      <c r="U763" s="63">
        <f t="shared" ref="U763:U770" si="3878">K763-O763</f>
        <v>0</v>
      </c>
      <c r="V763" s="63">
        <f t="shared" ref="V763:V770" si="3879">L763-M763-S763</f>
        <v>0</v>
      </c>
      <c r="W763" s="63">
        <f t="shared" ref="W763:W770" si="3880">N763-Q763</f>
        <v>0</v>
      </c>
      <c r="X763" s="64">
        <f t="shared" ref="X763:Y763" si="3881">IF(O763&gt;0,O763/K763,0)</f>
        <v>0</v>
      </c>
      <c r="Y763" s="64">
        <f t="shared" si="3881"/>
        <v>0</v>
      </c>
      <c r="Z763" s="64">
        <f t="shared" si="3871"/>
        <v>0</v>
      </c>
      <c r="AA763" s="65"/>
      <c r="AB763" s="65"/>
      <c r="AC763" s="65"/>
      <c r="AD763" s="65"/>
      <c r="AE763" s="66"/>
      <c r="AF763" s="66"/>
      <c r="AG763" s="66"/>
      <c r="AH763" s="66"/>
      <c r="AI763" s="65"/>
      <c r="AJ763" s="65"/>
      <c r="AK763" s="65"/>
      <c r="AL763" s="65"/>
      <c r="AM763" s="65"/>
      <c r="AN763" s="65"/>
      <c r="AO763" s="65"/>
      <c r="AP763" s="65"/>
      <c r="AQ763" s="65"/>
      <c r="AR763" s="65"/>
      <c r="AS763" s="65"/>
      <c r="AT763" s="65"/>
      <c r="AU763" s="65"/>
      <c r="AV763" s="65"/>
      <c r="AW763" s="65"/>
      <c r="AX763" s="65"/>
      <c r="AY763" s="65"/>
      <c r="AZ763" s="65"/>
      <c r="BA763" s="65"/>
      <c r="BB763" s="65"/>
      <c r="BC763" s="65"/>
      <c r="BD763" s="65"/>
      <c r="BE763" s="65"/>
      <c r="BF763" s="65"/>
      <c r="BG763" s="65"/>
      <c r="BH763" s="65"/>
      <c r="BI763" s="65"/>
      <c r="BJ763" s="65"/>
      <c r="BK763" s="65">
        <v>0</v>
      </c>
      <c r="BL763" s="65">
        <v>0</v>
      </c>
      <c r="BM763" s="65">
        <v>0</v>
      </c>
      <c r="BN763" s="65">
        <f t="shared" ref="BN763:BN770" si="3882">IF(O763-BK763&gt;0,O763-BK763,0)</f>
        <v>0</v>
      </c>
      <c r="BO763" s="67">
        <f t="shared" ref="BO763:BO770" si="3883">IF(Q763-BM763&gt;0,Q763-BM763,0)</f>
        <v>0</v>
      </c>
      <c r="BP763" s="65">
        <f t="shared" ref="BP763:BP770" si="3884">IF(BN763+BO763&gt;0,BN763+BO763,0)</f>
        <v>0</v>
      </c>
      <c r="BQ763" s="65">
        <f t="shared" ref="BQ763:BQ770" si="3885">IF(U763=0,0,U763)</f>
        <v>0</v>
      </c>
      <c r="BR763" s="65">
        <f t="shared" ref="BR763:BR770" si="3886">IF(W763=0,0,W763)</f>
        <v>0</v>
      </c>
      <c r="BS763" s="65">
        <f t="shared" ref="BS763:BS770" si="3887">IF(BQ763+BR763&gt;0,BQ763+BR763,0)</f>
        <v>0</v>
      </c>
      <c r="BT763" s="65">
        <f t="shared" ref="BT763:BT770" si="3888">IF(V763&gt;0,V763,0)</f>
        <v>0</v>
      </c>
      <c r="BU763" s="65">
        <f t="shared" ref="BU763:BU770" si="3889">IF(BP763=0,0,BP763)</f>
        <v>0</v>
      </c>
      <c r="BV763" s="65">
        <f t="shared" ref="BV763:BV770" si="3890">IF(BS763=0,0,BS763)</f>
        <v>0</v>
      </c>
      <c r="BW763" s="65">
        <f t="shared" ref="BW763:BW770" si="3891">IF(BP763+BT763+BV763&gt;0,BP763+BT763+BV763,0)</f>
        <v>0</v>
      </c>
      <c r="BX763" s="6"/>
      <c r="BY763" s="6"/>
      <c r="BZ763" s="6"/>
      <c r="CA763" s="6"/>
      <c r="CB763" s="6"/>
      <c r="CC763" s="6"/>
      <c r="CD763" s="6"/>
      <c r="CE763" s="6"/>
      <c r="CF763" s="6"/>
      <c r="CG763" s="6"/>
    </row>
    <row r="764" spans="1:85" ht="15.75" customHeight="1">
      <c r="A764" s="385"/>
      <c r="B764" s="386"/>
      <c r="C764" s="54" t="s">
        <v>430</v>
      </c>
      <c r="D764" s="55" t="s">
        <v>334</v>
      </c>
      <c r="E764" s="99">
        <v>0</v>
      </c>
      <c r="F764" s="99">
        <v>0</v>
      </c>
      <c r="G764" s="58">
        <f t="shared" si="3873"/>
        <v>0</v>
      </c>
      <c r="H764" s="99">
        <v>0</v>
      </c>
      <c r="I764" s="59">
        <f t="shared" si="3874"/>
        <v>0</v>
      </c>
      <c r="J764" s="59">
        <f t="shared" si="3875"/>
        <v>0</v>
      </c>
      <c r="K764" s="74">
        <v>38808</v>
      </c>
      <c r="L764" s="74">
        <v>0</v>
      </c>
      <c r="M764" s="74">
        <v>0</v>
      </c>
      <c r="N764" s="74">
        <v>0</v>
      </c>
      <c r="O764" s="61">
        <f t="shared" ref="O764:Q764" si="3892">AA764+AD764+AG764+AJ764+AM764+AP764+AS764+AV764+AY764+BB764+BE764+BH764</f>
        <v>0</v>
      </c>
      <c r="P764" s="61">
        <f t="shared" si="3892"/>
        <v>0</v>
      </c>
      <c r="Q764" s="61">
        <f t="shared" si="3892"/>
        <v>0</v>
      </c>
      <c r="R764" s="61">
        <f t="shared" ref="R764:T764" si="3893">IF(BK764=0,SUM(AA764+AD764+AG764+AJ764+AM764+AP764+AS764+AV764+AY764+BB764+BE764+BH764),BK764)</f>
        <v>0</v>
      </c>
      <c r="S764" s="61">
        <f t="shared" si="3893"/>
        <v>0</v>
      </c>
      <c r="T764" s="61">
        <f t="shared" si="3893"/>
        <v>0</v>
      </c>
      <c r="U764" s="63">
        <f t="shared" si="3878"/>
        <v>38808</v>
      </c>
      <c r="V764" s="63">
        <f t="shared" si="3879"/>
        <v>0</v>
      </c>
      <c r="W764" s="63">
        <f t="shared" si="3880"/>
        <v>0</v>
      </c>
      <c r="X764" s="64">
        <f t="shared" ref="X764:Y764" si="3894">IF(O764&gt;0,O764/K764,0)</f>
        <v>0</v>
      </c>
      <c r="Y764" s="64">
        <f t="shared" si="3894"/>
        <v>0</v>
      </c>
      <c r="Z764" s="64">
        <f t="shared" si="3871"/>
        <v>0</v>
      </c>
      <c r="AA764" s="65"/>
      <c r="AB764" s="65"/>
      <c r="AC764" s="65"/>
      <c r="AD764" s="65"/>
      <c r="AE764" s="66"/>
      <c r="AF764" s="66"/>
      <c r="AG764" s="66"/>
      <c r="AH764" s="66"/>
      <c r="AI764" s="65"/>
      <c r="AJ764" s="65"/>
      <c r="AK764" s="65"/>
      <c r="AL764" s="65"/>
      <c r="AM764" s="65"/>
      <c r="AN764" s="65"/>
      <c r="AO764" s="65"/>
      <c r="AP764" s="65"/>
      <c r="AQ764" s="65"/>
      <c r="AR764" s="65"/>
      <c r="AS764" s="65"/>
      <c r="AT764" s="65"/>
      <c r="AU764" s="65"/>
      <c r="AV764" s="65"/>
      <c r="AW764" s="65"/>
      <c r="AX764" s="65"/>
      <c r="AY764" s="65"/>
      <c r="AZ764" s="65"/>
      <c r="BA764" s="65"/>
      <c r="BB764" s="65"/>
      <c r="BC764" s="65"/>
      <c r="BD764" s="65"/>
      <c r="BE764" s="65"/>
      <c r="BF764" s="65"/>
      <c r="BG764" s="65"/>
      <c r="BH764" s="65"/>
      <c r="BI764" s="65"/>
      <c r="BJ764" s="65"/>
      <c r="BK764" s="65">
        <v>0</v>
      </c>
      <c r="BL764" s="65">
        <v>0</v>
      </c>
      <c r="BM764" s="65">
        <v>0</v>
      </c>
      <c r="BN764" s="65">
        <f t="shared" si="3882"/>
        <v>0</v>
      </c>
      <c r="BO764" s="67">
        <f t="shared" si="3883"/>
        <v>0</v>
      </c>
      <c r="BP764" s="65">
        <f t="shared" si="3884"/>
        <v>0</v>
      </c>
      <c r="BQ764" s="65">
        <f t="shared" si="3885"/>
        <v>38808</v>
      </c>
      <c r="BR764" s="65">
        <f t="shared" si="3886"/>
        <v>0</v>
      </c>
      <c r="BS764" s="65">
        <f t="shared" si="3887"/>
        <v>38808</v>
      </c>
      <c r="BT764" s="65">
        <f t="shared" si="3888"/>
        <v>0</v>
      </c>
      <c r="BU764" s="65">
        <f t="shared" si="3889"/>
        <v>0</v>
      </c>
      <c r="BV764" s="65">
        <f t="shared" si="3890"/>
        <v>38808</v>
      </c>
      <c r="BW764" s="65">
        <f t="shared" si="3891"/>
        <v>38808</v>
      </c>
      <c r="BX764" s="6"/>
      <c r="BY764" s="6"/>
      <c r="BZ764" s="6"/>
      <c r="CA764" s="6"/>
      <c r="CB764" s="6"/>
      <c r="CC764" s="6"/>
      <c r="CD764" s="6"/>
      <c r="CE764" s="6"/>
      <c r="CF764" s="6"/>
      <c r="CG764" s="6"/>
    </row>
    <row r="765" spans="1:85" ht="15.75" customHeight="1">
      <c r="A765" s="385"/>
      <c r="B765" s="386"/>
      <c r="C765" s="54" t="s">
        <v>430</v>
      </c>
      <c r="D765" s="106" t="s">
        <v>932</v>
      </c>
      <c r="E765" s="99">
        <v>0</v>
      </c>
      <c r="F765" s="99">
        <v>0</v>
      </c>
      <c r="G765" s="58">
        <f t="shared" si="3873"/>
        <v>0</v>
      </c>
      <c r="H765" s="99">
        <v>0</v>
      </c>
      <c r="I765" s="59">
        <f t="shared" si="3874"/>
        <v>0</v>
      </c>
      <c r="J765" s="59">
        <f t="shared" si="3875"/>
        <v>0</v>
      </c>
      <c r="K765" s="74">
        <v>10846</v>
      </c>
      <c r="L765" s="74">
        <v>0</v>
      </c>
      <c r="M765" s="74">
        <v>0</v>
      </c>
      <c r="N765" s="74">
        <v>0</v>
      </c>
      <c r="O765" s="61">
        <f t="shared" ref="O765:Q765" si="3895">AA765+AD765+AG765+AJ765+AM765+AP765+AS765+AV765+AY765+BB765+BE765+BH765</f>
        <v>0</v>
      </c>
      <c r="P765" s="61">
        <f t="shared" si="3895"/>
        <v>0</v>
      </c>
      <c r="Q765" s="61">
        <f t="shared" si="3895"/>
        <v>0</v>
      </c>
      <c r="R765" s="61">
        <f t="shared" ref="R765:T765" si="3896">IF(BK765=0,SUM(AA765+AD765+AG765+AJ765+AM765+AP765+AS765+AV765+AY765+BB765+BE765+BH765),BK765)</f>
        <v>0</v>
      </c>
      <c r="S765" s="61">
        <f t="shared" si="3896"/>
        <v>0</v>
      </c>
      <c r="T765" s="61">
        <f t="shared" si="3896"/>
        <v>0</v>
      </c>
      <c r="U765" s="63">
        <f t="shared" si="3878"/>
        <v>10846</v>
      </c>
      <c r="V765" s="63">
        <f t="shared" si="3879"/>
        <v>0</v>
      </c>
      <c r="W765" s="63">
        <f t="shared" si="3880"/>
        <v>0</v>
      </c>
      <c r="X765" s="64">
        <f t="shared" ref="X765:Y765" si="3897">IF(O765&gt;0,O765/K765,0)</f>
        <v>0</v>
      </c>
      <c r="Y765" s="64">
        <f t="shared" si="3897"/>
        <v>0</v>
      </c>
      <c r="Z765" s="64">
        <f t="shared" si="3871"/>
        <v>0</v>
      </c>
      <c r="AA765" s="65"/>
      <c r="AB765" s="65"/>
      <c r="AC765" s="65"/>
      <c r="AD765" s="65"/>
      <c r="AE765" s="66"/>
      <c r="AF765" s="66"/>
      <c r="AG765" s="66"/>
      <c r="AH765" s="66"/>
      <c r="AI765" s="65"/>
      <c r="AJ765" s="65"/>
      <c r="AK765" s="65"/>
      <c r="AL765" s="65"/>
      <c r="AM765" s="65"/>
      <c r="AN765" s="65"/>
      <c r="AO765" s="65"/>
      <c r="AP765" s="65"/>
      <c r="AQ765" s="65"/>
      <c r="AR765" s="65"/>
      <c r="AS765" s="65"/>
      <c r="AT765" s="65"/>
      <c r="AU765" s="65"/>
      <c r="AV765" s="65"/>
      <c r="AW765" s="65"/>
      <c r="AX765" s="65"/>
      <c r="AY765" s="65"/>
      <c r="AZ765" s="65"/>
      <c r="BA765" s="65"/>
      <c r="BB765" s="65"/>
      <c r="BC765" s="65"/>
      <c r="BD765" s="65"/>
      <c r="BE765" s="65"/>
      <c r="BF765" s="65"/>
      <c r="BG765" s="65"/>
      <c r="BH765" s="65"/>
      <c r="BI765" s="65"/>
      <c r="BJ765" s="65"/>
      <c r="BK765" s="65">
        <v>0</v>
      </c>
      <c r="BL765" s="65">
        <v>0</v>
      </c>
      <c r="BM765" s="65">
        <v>0</v>
      </c>
      <c r="BN765" s="65">
        <f t="shared" si="3882"/>
        <v>0</v>
      </c>
      <c r="BO765" s="67">
        <f t="shared" si="3883"/>
        <v>0</v>
      </c>
      <c r="BP765" s="65">
        <f t="shared" si="3884"/>
        <v>0</v>
      </c>
      <c r="BQ765" s="65">
        <f t="shared" si="3885"/>
        <v>10846</v>
      </c>
      <c r="BR765" s="65">
        <f t="shared" si="3886"/>
        <v>0</v>
      </c>
      <c r="BS765" s="65">
        <f t="shared" si="3887"/>
        <v>10846</v>
      </c>
      <c r="BT765" s="65">
        <f t="shared" si="3888"/>
        <v>0</v>
      </c>
      <c r="BU765" s="65">
        <f t="shared" si="3889"/>
        <v>0</v>
      </c>
      <c r="BV765" s="65">
        <f t="shared" si="3890"/>
        <v>10846</v>
      </c>
      <c r="BW765" s="65">
        <f t="shared" si="3891"/>
        <v>10846</v>
      </c>
      <c r="BX765" s="6"/>
      <c r="BY765" s="6"/>
      <c r="BZ765" s="6"/>
      <c r="CA765" s="6"/>
      <c r="CB765" s="6"/>
      <c r="CC765" s="6"/>
      <c r="CD765" s="6"/>
      <c r="CE765" s="6"/>
      <c r="CF765" s="6"/>
      <c r="CG765" s="6"/>
    </row>
    <row r="766" spans="1:85" ht="15.75" customHeight="1">
      <c r="A766" s="385"/>
      <c r="B766" s="386"/>
      <c r="C766" s="68" t="s">
        <v>933</v>
      </c>
      <c r="D766" s="387" t="s">
        <v>934</v>
      </c>
      <c r="E766" s="99">
        <v>0</v>
      </c>
      <c r="F766" s="99">
        <v>0</v>
      </c>
      <c r="G766" s="58">
        <f t="shared" si="3873"/>
        <v>0</v>
      </c>
      <c r="H766" s="99">
        <v>0</v>
      </c>
      <c r="I766" s="59">
        <f t="shared" si="3874"/>
        <v>0</v>
      </c>
      <c r="J766" s="59">
        <f t="shared" si="3875"/>
        <v>0</v>
      </c>
      <c r="K766" s="74">
        <v>0</v>
      </c>
      <c r="L766" s="74">
        <v>0</v>
      </c>
      <c r="M766" s="74">
        <v>0</v>
      </c>
      <c r="N766" s="74">
        <v>0</v>
      </c>
      <c r="O766" s="61">
        <f t="shared" ref="O766:Q766" si="3898">AA766+AD766+AG766+AJ766+AM766+AP766+AS766+AV766+AY766+BB766+BE766+BH766</f>
        <v>0</v>
      </c>
      <c r="P766" s="61">
        <f t="shared" si="3898"/>
        <v>0</v>
      </c>
      <c r="Q766" s="61">
        <f t="shared" si="3898"/>
        <v>0</v>
      </c>
      <c r="R766" s="61">
        <f t="shared" ref="R766:T766" si="3899">IF(BK766=0,SUM(AA766+AD766+AG766+AJ766+AM766+AP766+AS766+AV766+AY766+BB766+BE766+BH766),BK766)</f>
        <v>0</v>
      </c>
      <c r="S766" s="61">
        <f t="shared" si="3899"/>
        <v>0</v>
      </c>
      <c r="T766" s="61">
        <f t="shared" si="3899"/>
        <v>0</v>
      </c>
      <c r="U766" s="63">
        <f t="shared" si="3878"/>
        <v>0</v>
      </c>
      <c r="V766" s="63">
        <f t="shared" si="3879"/>
        <v>0</v>
      </c>
      <c r="W766" s="63">
        <f t="shared" si="3880"/>
        <v>0</v>
      </c>
      <c r="X766" s="64">
        <f t="shared" ref="X766:Y766" si="3900">IF(O766&gt;0,O766/K766,0)</f>
        <v>0</v>
      </c>
      <c r="Y766" s="64">
        <f t="shared" si="3900"/>
        <v>0</v>
      </c>
      <c r="Z766" s="64">
        <f t="shared" si="3871"/>
        <v>0</v>
      </c>
      <c r="AA766" s="65"/>
      <c r="AB766" s="65"/>
      <c r="AC766" s="65"/>
      <c r="AD766" s="65"/>
      <c r="AE766" s="66"/>
      <c r="AF766" s="66"/>
      <c r="AG766" s="66"/>
      <c r="AH766" s="66"/>
      <c r="AI766" s="65"/>
      <c r="AJ766" s="65"/>
      <c r="AK766" s="65"/>
      <c r="AL766" s="65"/>
      <c r="AM766" s="65"/>
      <c r="AN766" s="65"/>
      <c r="AO766" s="65"/>
      <c r="AP766" s="65"/>
      <c r="AQ766" s="65"/>
      <c r="AR766" s="65"/>
      <c r="AS766" s="65"/>
      <c r="AT766" s="65"/>
      <c r="AU766" s="65"/>
      <c r="AV766" s="65"/>
      <c r="AW766" s="65"/>
      <c r="AX766" s="65"/>
      <c r="AY766" s="65"/>
      <c r="AZ766" s="65"/>
      <c r="BA766" s="65"/>
      <c r="BB766" s="65"/>
      <c r="BC766" s="65"/>
      <c r="BD766" s="65"/>
      <c r="BE766" s="65"/>
      <c r="BF766" s="65"/>
      <c r="BG766" s="65"/>
      <c r="BH766" s="65"/>
      <c r="BI766" s="65"/>
      <c r="BJ766" s="65"/>
      <c r="BK766" s="65">
        <v>0</v>
      </c>
      <c r="BL766" s="65">
        <v>0</v>
      </c>
      <c r="BM766" s="65">
        <v>0</v>
      </c>
      <c r="BN766" s="65">
        <f t="shared" si="3882"/>
        <v>0</v>
      </c>
      <c r="BO766" s="67">
        <f t="shared" si="3883"/>
        <v>0</v>
      </c>
      <c r="BP766" s="65">
        <f t="shared" si="3884"/>
        <v>0</v>
      </c>
      <c r="BQ766" s="65">
        <f t="shared" si="3885"/>
        <v>0</v>
      </c>
      <c r="BR766" s="65">
        <f t="shared" si="3886"/>
        <v>0</v>
      </c>
      <c r="BS766" s="65">
        <f t="shared" si="3887"/>
        <v>0</v>
      </c>
      <c r="BT766" s="65">
        <f t="shared" si="3888"/>
        <v>0</v>
      </c>
      <c r="BU766" s="65">
        <f t="shared" si="3889"/>
        <v>0</v>
      </c>
      <c r="BV766" s="65">
        <f t="shared" si="3890"/>
        <v>0</v>
      </c>
      <c r="BW766" s="65">
        <f t="shared" si="3891"/>
        <v>0</v>
      </c>
      <c r="BX766" s="6"/>
      <c r="BY766" s="6"/>
      <c r="BZ766" s="6"/>
      <c r="CA766" s="6"/>
      <c r="CB766" s="6"/>
      <c r="CC766" s="6"/>
      <c r="CD766" s="6"/>
      <c r="CE766" s="6"/>
      <c r="CF766" s="6"/>
      <c r="CG766" s="6"/>
    </row>
    <row r="767" spans="1:85" ht="15.75" customHeight="1">
      <c r="A767" s="385"/>
      <c r="B767" s="386"/>
      <c r="C767" s="68" t="s">
        <v>935</v>
      </c>
      <c r="D767" s="122" t="s">
        <v>499</v>
      </c>
      <c r="E767" s="99">
        <v>0</v>
      </c>
      <c r="F767" s="99">
        <v>0</v>
      </c>
      <c r="G767" s="58">
        <f t="shared" si="3873"/>
        <v>0</v>
      </c>
      <c r="H767" s="99">
        <v>0</v>
      </c>
      <c r="I767" s="59">
        <f t="shared" si="3874"/>
        <v>0</v>
      </c>
      <c r="J767" s="59">
        <f t="shared" si="3875"/>
        <v>0</v>
      </c>
      <c r="K767" s="74">
        <f>80342.43+(130000-20349.05)</f>
        <v>189993.38</v>
      </c>
      <c r="L767" s="74">
        <v>0</v>
      </c>
      <c r="M767" s="74">
        <v>0</v>
      </c>
      <c r="N767" s="74">
        <v>0</v>
      </c>
      <c r="O767" s="61">
        <f t="shared" ref="O767:Q767" si="3901">AA767+AD767+AG767+AJ767+AM767+AP767+AS767+AV767+AY767+BB767+BE767+BH767</f>
        <v>0</v>
      </c>
      <c r="P767" s="61">
        <f t="shared" si="3901"/>
        <v>0</v>
      </c>
      <c r="Q767" s="61">
        <f t="shared" si="3901"/>
        <v>0</v>
      </c>
      <c r="R767" s="61">
        <f t="shared" ref="R767:T767" si="3902">IF(BK767=0,SUM(AA767+AD767+AG767+AJ767+AM767+AP767+AS767+AV767+AY767+BB767+BE767+BH767),BK767)</f>
        <v>0</v>
      </c>
      <c r="S767" s="61">
        <f t="shared" si="3902"/>
        <v>0</v>
      </c>
      <c r="T767" s="61">
        <f t="shared" si="3902"/>
        <v>0</v>
      </c>
      <c r="U767" s="63">
        <f t="shared" si="3878"/>
        <v>189993.38</v>
      </c>
      <c r="V767" s="63">
        <f t="shared" si="3879"/>
        <v>0</v>
      </c>
      <c r="W767" s="63">
        <f t="shared" si="3880"/>
        <v>0</v>
      </c>
      <c r="X767" s="64">
        <f t="shared" ref="X767:Y767" si="3903">IF(O767&gt;0,O767/K767,0)</f>
        <v>0</v>
      </c>
      <c r="Y767" s="64">
        <f t="shared" si="3903"/>
        <v>0</v>
      </c>
      <c r="Z767" s="64">
        <f t="shared" si="3871"/>
        <v>0</v>
      </c>
      <c r="AA767" s="65"/>
      <c r="AB767" s="65"/>
      <c r="AC767" s="65"/>
      <c r="AD767" s="65"/>
      <c r="AE767" s="66"/>
      <c r="AF767" s="66"/>
      <c r="AG767" s="66"/>
      <c r="AH767" s="66"/>
      <c r="AI767" s="65"/>
      <c r="AJ767" s="65"/>
      <c r="AK767" s="65"/>
      <c r="AL767" s="65"/>
      <c r="AM767" s="65"/>
      <c r="AN767" s="65"/>
      <c r="AO767" s="65"/>
      <c r="AP767" s="65"/>
      <c r="AQ767" s="65"/>
      <c r="AR767" s="65"/>
      <c r="AS767" s="65"/>
      <c r="AT767" s="65"/>
      <c r="AU767" s="65"/>
      <c r="AV767" s="65"/>
      <c r="AW767" s="65"/>
      <c r="AX767" s="65"/>
      <c r="AY767" s="65"/>
      <c r="AZ767" s="65"/>
      <c r="BA767" s="65"/>
      <c r="BB767" s="65"/>
      <c r="BC767" s="65"/>
      <c r="BD767" s="65"/>
      <c r="BE767" s="65"/>
      <c r="BF767" s="65"/>
      <c r="BG767" s="65"/>
      <c r="BH767" s="65"/>
      <c r="BI767" s="65"/>
      <c r="BJ767" s="65"/>
      <c r="BK767" s="65">
        <v>0</v>
      </c>
      <c r="BL767" s="65">
        <v>0</v>
      </c>
      <c r="BM767" s="65">
        <v>0</v>
      </c>
      <c r="BN767" s="65">
        <f t="shared" si="3882"/>
        <v>0</v>
      </c>
      <c r="BO767" s="67">
        <f t="shared" si="3883"/>
        <v>0</v>
      </c>
      <c r="BP767" s="65">
        <f t="shared" si="3884"/>
        <v>0</v>
      </c>
      <c r="BQ767" s="65">
        <f t="shared" si="3885"/>
        <v>189993.38</v>
      </c>
      <c r="BR767" s="65">
        <f t="shared" si="3886"/>
        <v>0</v>
      </c>
      <c r="BS767" s="65">
        <f t="shared" si="3887"/>
        <v>189993.38</v>
      </c>
      <c r="BT767" s="65">
        <f t="shared" si="3888"/>
        <v>0</v>
      </c>
      <c r="BU767" s="65">
        <f t="shared" si="3889"/>
        <v>0</v>
      </c>
      <c r="BV767" s="65">
        <f t="shared" si="3890"/>
        <v>189993.38</v>
      </c>
      <c r="BW767" s="65">
        <f t="shared" si="3891"/>
        <v>189993.38</v>
      </c>
      <c r="BX767" s="6"/>
      <c r="BY767" s="6"/>
      <c r="BZ767" s="6"/>
      <c r="CA767" s="6"/>
      <c r="CB767" s="6"/>
      <c r="CC767" s="6"/>
      <c r="CD767" s="6"/>
      <c r="CE767" s="6"/>
      <c r="CF767" s="6"/>
      <c r="CG767" s="6"/>
    </row>
    <row r="768" spans="1:85" ht="15.75" customHeight="1">
      <c r="A768" s="385"/>
      <c r="B768" s="386"/>
      <c r="C768" s="68" t="s">
        <v>936</v>
      </c>
      <c r="D768" s="171" t="s">
        <v>937</v>
      </c>
      <c r="E768" s="99">
        <v>0</v>
      </c>
      <c r="F768" s="99">
        <v>0</v>
      </c>
      <c r="G768" s="58">
        <f t="shared" si="3873"/>
        <v>0</v>
      </c>
      <c r="H768" s="99">
        <v>0</v>
      </c>
      <c r="I768" s="59">
        <f t="shared" si="3874"/>
        <v>0</v>
      </c>
      <c r="J768" s="59">
        <f t="shared" si="3875"/>
        <v>0</v>
      </c>
      <c r="K768" s="74">
        <f>1176+2352</f>
        <v>3528</v>
      </c>
      <c r="L768" s="74">
        <v>0</v>
      </c>
      <c r="M768" s="74">
        <v>0</v>
      </c>
      <c r="N768" s="74">
        <v>0</v>
      </c>
      <c r="O768" s="61">
        <f t="shared" ref="O768:Q768" si="3904">AA768+AD768+AG768+AJ768+AM768+AP768+AS768+AV768+AY768+BB768+BE768+BH768</f>
        <v>0</v>
      </c>
      <c r="P768" s="61">
        <f t="shared" si="3904"/>
        <v>0</v>
      </c>
      <c r="Q768" s="61">
        <f t="shared" si="3904"/>
        <v>0</v>
      </c>
      <c r="R768" s="61">
        <f t="shared" ref="R768:T768" si="3905">IF(BK768=0,SUM(AA768+AD768+AG768+AJ768+AM768+AP768+AS768+AV768+AY768+BB768+BE768+BH768),BK768)</f>
        <v>0</v>
      </c>
      <c r="S768" s="61">
        <f t="shared" si="3905"/>
        <v>0</v>
      </c>
      <c r="T768" s="61">
        <f t="shared" si="3905"/>
        <v>0</v>
      </c>
      <c r="U768" s="63">
        <f t="shared" si="3878"/>
        <v>3528</v>
      </c>
      <c r="V768" s="63">
        <f t="shared" si="3879"/>
        <v>0</v>
      </c>
      <c r="W768" s="63">
        <f t="shared" si="3880"/>
        <v>0</v>
      </c>
      <c r="X768" s="64">
        <f t="shared" ref="X768:Y768" si="3906">IF(O768&gt;0,O768/K768,0)</f>
        <v>0</v>
      </c>
      <c r="Y768" s="64">
        <f t="shared" si="3906"/>
        <v>0</v>
      </c>
      <c r="Z768" s="64">
        <f t="shared" si="3871"/>
        <v>0</v>
      </c>
      <c r="AA768" s="65"/>
      <c r="AB768" s="65"/>
      <c r="AC768" s="65"/>
      <c r="AD768" s="65"/>
      <c r="AE768" s="66"/>
      <c r="AF768" s="66"/>
      <c r="AG768" s="66"/>
      <c r="AH768" s="66"/>
      <c r="AI768" s="65"/>
      <c r="AJ768" s="65"/>
      <c r="AK768" s="65"/>
      <c r="AL768" s="65"/>
      <c r="AM768" s="65"/>
      <c r="AN768" s="65"/>
      <c r="AO768" s="65"/>
      <c r="AP768" s="65"/>
      <c r="AQ768" s="65"/>
      <c r="AR768" s="65"/>
      <c r="AS768" s="65"/>
      <c r="AT768" s="65"/>
      <c r="AU768" s="65"/>
      <c r="AV768" s="65"/>
      <c r="AW768" s="65"/>
      <c r="AX768" s="65"/>
      <c r="AY768" s="65"/>
      <c r="AZ768" s="65"/>
      <c r="BA768" s="65"/>
      <c r="BB768" s="65"/>
      <c r="BC768" s="65"/>
      <c r="BD768" s="65"/>
      <c r="BE768" s="65"/>
      <c r="BF768" s="65"/>
      <c r="BG768" s="65"/>
      <c r="BH768" s="65"/>
      <c r="BI768" s="65"/>
      <c r="BJ768" s="65"/>
      <c r="BK768" s="65">
        <v>0</v>
      </c>
      <c r="BL768" s="65">
        <v>0</v>
      </c>
      <c r="BM768" s="65">
        <v>0</v>
      </c>
      <c r="BN768" s="65">
        <f t="shared" si="3882"/>
        <v>0</v>
      </c>
      <c r="BO768" s="67">
        <f t="shared" si="3883"/>
        <v>0</v>
      </c>
      <c r="BP768" s="65">
        <f t="shared" si="3884"/>
        <v>0</v>
      </c>
      <c r="BQ768" s="65">
        <f t="shared" si="3885"/>
        <v>3528</v>
      </c>
      <c r="BR768" s="65">
        <f t="shared" si="3886"/>
        <v>0</v>
      </c>
      <c r="BS768" s="65">
        <f t="shared" si="3887"/>
        <v>3528</v>
      </c>
      <c r="BT768" s="65">
        <f t="shared" si="3888"/>
        <v>0</v>
      </c>
      <c r="BU768" s="65">
        <f t="shared" si="3889"/>
        <v>0</v>
      </c>
      <c r="BV768" s="65">
        <f t="shared" si="3890"/>
        <v>3528</v>
      </c>
      <c r="BW768" s="65">
        <f t="shared" si="3891"/>
        <v>3528</v>
      </c>
      <c r="BX768" s="6"/>
      <c r="BY768" s="6"/>
      <c r="BZ768" s="6"/>
      <c r="CA768" s="6"/>
      <c r="CB768" s="6"/>
      <c r="CC768" s="6"/>
      <c r="CD768" s="6"/>
      <c r="CE768" s="6"/>
      <c r="CF768" s="6"/>
      <c r="CG768" s="6"/>
    </row>
    <row r="769" spans="1:85" ht="15.75" customHeight="1">
      <c r="A769" s="385"/>
      <c r="B769" s="386"/>
      <c r="C769" s="68" t="s">
        <v>198</v>
      </c>
      <c r="D769" s="171" t="s">
        <v>199</v>
      </c>
      <c r="E769" s="99">
        <v>0</v>
      </c>
      <c r="F769" s="99">
        <v>0</v>
      </c>
      <c r="G769" s="58">
        <f t="shared" si="3873"/>
        <v>0</v>
      </c>
      <c r="H769" s="99">
        <v>0</v>
      </c>
      <c r="I769" s="59">
        <f t="shared" si="3874"/>
        <v>0</v>
      </c>
      <c r="J769" s="59">
        <f t="shared" si="3875"/>
        <v>0</v>
      </c>
      <c r="K769" s="74">
        <f>174878.2+(300000-19496)</f>
        <v>455382.2</v>
      </c>
      <c r="L769" s="74">
        <v>0</v>
      </c>
      <c r="M769" s="74">
        <v>0</v>
      </c>
      <c r="N769" s="74">
        <v>0</v>
      </c>
      <c r="O769" s="61">
        <f t="shared" ref="O769:Q769" si="3907">AA769+AD769+AG769+AJ769+AM769+AP769+AS769+AV769+AY769+BB769+BE769+BH769</f>
        <v>0</v>
      </c>
      <c r="P769" s="61">
        <f t="shared" si="3907"/>
        <v>0</v>
      </c>
      <c r="Q769" s="61">
        <f t="shared" si="3907"/>
        <v>0</v>
      </c>
      <c r="R769" s="61">
        <f t="shared" ref="R769:T769" si="3908">IF(BK769=0,SUM(AA769+AD769+AG769+AJ769+AM769+AP769+AS769+AV769+AY769+BB769+BE769+BH769),BK769)</f>
        <v>0</v>
      </c>
      <c r="S769" s="61">
        <f t="shared" si="3908"/>
        <v>0</v>
      </c>
      <c r="T769" s="61">
        <f t="shared" si="3908"/>
        <v>0</v>
      </c>
      <c r="U769" s="63">
        <f t="shared" si="3878"/>
        <v>455382.2</v>
      </c>
      <c r="V769" s="63">
        <f t="shared" si="3879"/>
        <v>0</v>
      </c>
      <c r="W769" s="63">
        <f t="shared" si="3880"/>
        <v>0</v>
      </c>
      <c r="X769" s="64">
        <f t="shared" ref="X769:Y769" si="3909">IF(O769&gt;0,O769/K769,0)</f>
        <v>0</v>
      </c>
      <c r="Y769" s="64">
        <f t="shared" si="3909"/>
        <v>0</v>
      </c>
      <c r="Z769" s="64">
        <f t="shared" si="3871"/>
        <v>0</v>
      </c>
      <c r="AA769" s="65"/>
      <c r="AB769" s="65"/>
      <c r="AC769" s="65"/>
      <c r="AD769" s="65"/>
      <c r="AE769" s="66"/>
      <c r="AF769" s="66"/>
      <c r="AG769" s="66"/>
      <c r="AH769" s="66"/>
      <c r="AI769" s="65"/>
      <c r="AJ769" s="65"/>
      <c r="AK769" s="65"/>
      <c r="AL769" s="65"/>
      <c r="AM769" s="65"/>
      <c r="AN769" s="65"/>
      <c r="AO769" s="65"/>
      <c r="AP769" s="65"/>
      <c r="AQ769" s="65"/>
      <c r="AR769" s="65"/>
      <c r="AS769" s="65"/>
      <c r="AT769" s="65"/>
      <c r="AU769" s="65"/>
      <c r="AV769" s="65"/>
      <c r="AW769" s="65"/>
      <c r="AX769" s="65"/>
      <c r="AY769" s="65"/>
      <c r="AZ769" s="65"/>
      <c r="BA769" s="65"/>
      <c r="BB769" s="65"/>
      <c r="BC769" s="65"/>
      <c r="BD769" s="65"/>
      <c r="BE769" s="65"/>
      <c r="BF769" s="65"/>
      <c r="BG769" s="65"/>
      <c r="BH769" s="65"/>
      <c r="BI769" s="65"/>
      <c r="BJ769" s="65"/>
      <c r="BK769" s="65">
        <v>0</v>
      </c>
      <c r="BL769" s="65">
        <v>0</v>
      </c>
      <c r="BM769" s="65">
        <v>0</v>
      </c>
      <c r="BN769" s="65">
        <f t="shared" si="3882"/>
        <v>0</v>
      </c>
      <c r="BO769" s="67">
        <f t="shared" si="3883"/>
        <v>0</v>
      </c>
      <c r="BP769" s="65">
        <f t="shared" si="3884"/>
        <v>0</v>
      </c>
      <c r="BQ769" s="65">
        <f t="shared" si="3885"/>
        <v>455382.2</v>
      </c>
      <c r="BR769" s="65">
        <f t="shared" si="3886"/>
        <v>0</v>
      </c>
      <c r="BS769" s="65">
        <f t="shared" si="3887"/>
        <v>455382.2</v>
      </c>
      <c r="BT769" s="65">
        <f t="shared" si="3888"/>
        <v>0</v>
      </c>
      <c r="BU769" s="65">
        <f t="shared" si="3889"/>
        <v>0</v>
      </c>
      <c r="BV769" s="65">
        <f t="shared" si="3890"/>
        <v>455382.2</v>
      </c>
      <c r="BW769" s="65">
        <f t="shared" si="3891"/>
        <v>455382.2</v>
      </c>
      <c r="BX769" s="6"/>
      <c r="BY769" s="6"/>
      <c r="BZ769" s="6"/>
      <c r="CA769" s="6"/>
      <c r="CB769" s="6"/>
      <c r="CC769" s="6"/>
      <c r="CD769" s="6"/>
      <c r="CE769" s="6"/>
      <c r="CF769" s="6"/>
      <c r="CG769" s="6"/>
    </row>
    <row r="770" spans="1:85" ht="15.75" customHeight="1">
      <c r="A770" s="385"/>
      <c r="B770" s="386"/>
      <c r="C770" s="71" t="s">
        <v>938</v>
      </c>
      <c r="D770" s="388" t="s">
        <v>939</v>
      </c>
      <c r="E770" s="99">
        <v>0</v>
      </c>
      <c r="F770" s="99">
        <v>0</v>
      </c>
      <c r="G770" s="58">
        <f t="shared" si="3873"/>
        <v>0</v>
      </c>
      <c r="H770" s="99">
        <v>0</v>
      </c>
      <c r="I770" s="59">
        <f t="shared" si="3874"/>
        <v>0</v>
      </c>
      <c r="J770" s="59">
        <f t="shared" si="3875"/>
        <v>0</v>
      </c>
      <c r="K770" s="74">
        <v>48510</v>
      </c>
      <c r="L770" s="74">
        <v>0</v>
      </c>
      <c r="M770" s="74">
        <v>0</v>
      </c>
      <c r="N770" s="74">
        <v>0</v>
      </c>
      <c r="O770" s="61">
        <f t="shared" ref="O770:Q770" si="3910">AA770+AD770+AG770+AJ770+AM770+AP770+AS770+AV770+AY770+BB770+BE770+BH770</f>
        <v>0</v>
      </c>
      <c r="P770" s="61">
        <f t="shared" si="3910"/>
        <v>0</v>
      </c>
      <c r="Q770" s="61">
        <f t="shared" si="3910"/>
        <v>0</v>
      </c>
      <c r="R770" s="61">
        <f t="shared" ref="R770:T770" si="3911">IF(BK770=0,SUM(AA770+AD770+AG770+AJ770+AM770+AP770+AS770+AV770+AY770+BB770+BE770+BH770),BK770)</f>
        <v>0</v>
      </c>
      <c r="S770" s="61">
        <f t="shared" si="3911"/>
        <v>0</v>
      </c>
      <c r="T770" s="61">
        <f t="shared" si="3911"/>
        <v>0</v>
      </c>
      <c r="U770" s="63">
        <f t="shared" si="3878"/>
        <v>48510</v>
      </c>
      <c r="V770" s="63">
        <f t="shared" si="3879"/>
        <v>0</v>
      </c>
      <c r="W770" s="63">
        <f t="shared" si="3880"/>
        <v>0</v>
      </c>
      <c r="X770" s="64">
        <f t="shared" ref="X770:Y770" si="3912">IF(O770&gt;0,O770/K770,0)</f>
        <v>0</v>
      </c>
      <c r="Y770" s="64">
        <f t="shared" si="3912"/>
        <v>0</v>
      </c>
      <c r="Z770" s="64">
        <f t="shared" si="3871"/>
        <v>0</v>
      </c>
      <c r="AA770" s="65"/>
      <c r="AB770" s="65"/>
      <c r="AC770" s="65"/>
      <c r="AD770" s="65"/>
      <c r="AE770" s="66"/>
      <c r="AF770" s="66"/>
      <c r="AG770" s="66"/>
      <c r="AH770" s="66"/>
      <c r="AI770" s="65"/>
      <c r="AJ770" s="65"/>
      <c r="AK770" s="65"/>
      <c r="AL770" s="65"/>
      <c r="AM770" s="65"/>
      <c r="AN770" s="65"/>
      <c r="AO770" s="65"/>
      <c r="AP770" s="65"/>
      <c r="AQ770" s="65"/>
      <c r="AR770" s="65"/>
      <c r="AS770" s="65"/>
      <c r="AT770" s="65"/>
      <c r="AU770" s="65"/>
      <c r="AV770" s="65"/>
      <c r="AW770" s="65"/>
      <c r="AX770" s="65"/>
      <c r="AY770" s="65"/>
      <c r="AZ770" s="65"/>
      <c r="BA770" s="65"/>
      <c r="BB770" s="65"/>
      <c r="BC770" s="65"/>
      <c r="BD770" s="65"/>
      <c r="BE770" s="65"/>
      <c r="BF770" s="65"/>
      <c r="BG770" s="65"/>
      <c r="BH770" s="65"/>
      <c r="BI770" s="65"/>
      <c r="BJ770" s="65"/>
      <c r="BK770" s="100">
        <v>0</v>
      </c>
      <c r="BL770" s="65">
        <v>0</v>
      </c>
      <c r="BM770" s="65">
        <v>0</v>
      </c>
      <c r="BN770" s="65">
        <f t="shared" si="3882"/>
        <v>0</v>
      </c>
      <c r="BO770" s="67">
        <f t="shared" si="3883"/>
        <v>0</v>
      </c>
      <c r="BP770" s="65">
        <f t="shared" si="3884"/>
        <v>0</v>
      </c>
      <c r="BQ770" s="65">
        <f t="shared" si="3885"/>
        <v>48510</v>
      </c>
      <c r="BR770" s="65">
        <f t="shared" si="3886"/>
        <v>0</v>
      </c>
      <c r="BS770" s="65">
        <f t="shared" si="3887"/>
        <v>48510</v>
      </c>
      <c r="BT770" s="65">
        <f t="shared" si="3888"/>
        <v>0</v>
      </c>
      <c r="BU770" s="65">
        <f t="shared" si="3889"/>
        <v>0</v>
      </c>
      <c r="BV770" s="65">
        <f t="shared" si="3890"/>
        <v>48510</v>
      </c>
      <c r="BW770" s="65">
        <f t="shared" si="3891"/>
        <v>48510</v>
      </c>
      <c r="BX770" s="6"/>
      <c r="BY770" s="6"/>
      <c r="BZ770" s="6"/>
      <c r="CA770" s="6"/>
      <c r="CB770" s="6"/>
      <c r="CC770" s="6"/>
      <c r="CD770" s="6"/>
      <c r="CE770" s="6"/>
      <c r="CF770" s="6"/>
      <c r="CG770" s="6"/>
    </row>
    <row r="771" spans="1:85" ht="15.75" customHeight="1">
      <c r="A771" s="364"/>
      <c r="B771" s="292" t="s">
        <v>940</v>
      </c>
      <c r="C771" s="292"/>
      <c r="D771" s="294"/>
      <c r="E771" s="389">
        <v>0</v>
      </c>
      <c r="F771" s="390">
        <f>504546-70636.44-300000-5000-150000+21090.44</f>
        <v>0</v>
      </c>
      <c r="G771" s="390">
        <f t="shared" si="3873"/>
        <v>0</v>
      </c>
      <c r="H771" s="390">
        <v>0</v>
      </c>
      <c r="I771" s="391" t="e">
        <f>K771/G771</f>
        <v>#DIV/0!</v>
      </c>
      <c r="J771" s="391" t="e">
        <f>O771/G771</f>
        <v>#DIV/0!</v>
      </c>
      <c r="K771" s="392">
        <v>0</v>
      </c>
      <c r="L771" s="392">
        <v>0</v>
      </c>
      <c r="M771" s="392">
        <v>0</v>
      </c>
      <c r="N771" s="392">
        <v>0</v>
      </c>
      <c r="O771" s="392">
        <v>0</v>
      </c>
      <c r="P771" s="392">
        <v>0</v>
      </c>
      <c r="Q771" s="392">
        <v>0</v>
      </c>
      <c r="R771" s="392">
        <v>0</v>
      </c>
      <c r="S771" s="392">
        <v>0</v>
      </c>
      <c r="T771" s="392">
        <v>0</v>
      </c>
      <c r="U771" s="392">
        <v>0</v>
      </c>
      <c r="V771" s="392">
        <v>0</v>
      </c>
      <c r="W771" s="392">
        <v>0</v>
      </c>
      <c r="X771" s="391">
        <f t="shared" ref="X771:Y771" si="3913">IF(O771&gt;0,O771/K771,0)</f>
        <v>0</v>
      </c>
      <c r="Y771" s="391">
        <f t="shared" si="3913"/>
        <v>0</v>
      </c>
      <c r="Z771" s="391">
        <f t="shared" si="3871"/>
        <v>0</v>
      </c>
      <c r="AA771" s="392">
        <v>0</v>
      </c>
      <c r="AB771" s="392">
        <v>0</v>
      </c>
      <c r="AC771" s="392">
        <v>0</v>
      </c>
      <c r="AD771" s="392">
        <v>0</v>
      </c>
      <c r="AE771" s="392">
        <v>0</v>
      </c>
      <c r="AF771" s="392">
        <v>0</v>
      </c>
      <c r="AG771" s="392">
        <v>0</v>
      </c>
      <c r="AH771" s="392">
        <v>0</v>
      </c>
      <c r="AI771" s="392">
        <v>0</v>
      </c>
      <c r="AJ771" s="392">
        <v>0</v>
      </c>
      <c r="AK771" s="392">
        <v>0</v>
      </c>
      <c r="AL771" s="392">
        <v>0</v>
      </c>
      <c r="AM771" s="392">
        <v>0</v>
      </c>
      <c r="AN771" s="392">
        <v>0</v>
      </c>
      <c r="AO771" s="392">
        <v>0</v>
      </c>
      <c r="AP771" s="392">
        <v>0</v>
      </c>
      <c r="AQ771" s="392">
        <v>0</v>
      </c>
      <c r="AR771" s="392">
        <v>0</v>
      </c>
      <c r="AS771" s="392">
        <v>0</v>
      </c>
      <c r="AT771" s="392">
        <v>0</v>
      </c>
      <c r="AU771" s="392">
        <v>0</v>
      </c>
      <c r="AV771" s="392">
        <v>0</v>
      </c>
      <c r="AW771" s="392">
        <v>0</v>
      </c>
      <c r="AX771" s="392">
        <v>0</v>
      </c>
      <c r="AY771" s="392">
        <v>0</v>
      </c>
      <c r="AZ771" s="392">
        <v>0</v>
      </c>
      <c r="BA771" s="392">
        <v>0</v>
      </c>
      <c r="BB771" s="392">
        <v>0</v>
      </c>
      <c r="BC771" s="392">
        <v>0</v>
      </c>
      <c r="BD771" s="392">
        <v>0</v>
      </c>
      <c r="BE771" s="392">
        <v>0</v>
      </c>
      <c r="BF771" s="392">
        <v>0</v>
      </c>
      <c r="BG771" s="392">
        <v>0</v>
      </c>
      <c r="BH771" s="392">
        <v>0</v>
      </c>
      <c r="BI771" s="392">
        <v>0</v>
      </c>
      <c r="BJ771" s="392">
        <v>0</v>
      </c>
      <c r="BK771" s="392">
        <v>0</v>
      </c>
      <c r="BL771" s="392">
        <v>0</v>
      </c>
      <c r="BM771" s="392">
        <v>0</v>
      </c>
      <c r="BN771" s="392">
        <v>0</v>
      </c>
      <c r="BO771" s="392">
        <v>0</v>
      </c>
      <c r="BP771" s="392">
        <v>0</v>
      </c>
      <c r="BQ771" s="392">
        <v>0</v>
      </c>
      <c r="BR771" s="392">
        <v>0</v>
      </c>
      <c r="BS771" s="392">
        <v>0</v>
      </c>
      <c r="BT771" s="392">
        <v>0</v>
      </c>
      <c r="BU771" s="392">
        <v>0</v>
      </c>
      <c r="BV771" s="392">
        <v>0</v>
      </c>
      <c r="BW771" s="392">
        <v>0</v>
      </c>
      <c r="BX771" s="393"/>
      <c r="BY771" s="393"/>
      <c r="BZ771" s="393"/>
      <c r="CA771" s="393"/>
      <c r="CB771" s="393"/>
      <c r="CC771" s="393"/>
      <c r="CD771" s="393"/>
      <c r="CE771" s="393"/>
      <c r="CF771" s="393"/>
      <c r="CG771" s="393"/>
    </row>
    <row r="772" spans="1:85" ht="15.75">
      <c r="A772" s="385"/>
      <c r="B772" s="386"/>
      <c r="C772" s="394"/>
      <c r="D772" s="395"/>
      <c r="E772" s="396"/>
      <c r="F772" s="396"/>
      <c r="G772" s="397"/>
      <c r="H772" s="397"/>
      <c r="I772" s="398"/>
      <c r="J772" s="398"/>
      <c r="K772" s="399"/>
      <c r="L772" s="400"/>
      <c r="M772" s="401"/>
      <c r="N772" s="402"/>
      <c r="O772" s="400"/>
      <c r="P772" s="400"/>
      <c r="Q772" s="400"/>
      <c r="R772" s="400"/>
      <c r="S772" s="400"/>
      <c r="T772" s="400"/>
      <c r="U772" s="399"/>
      <c r="V772" s="399"/>
      <c r="W772" s="399"/>
      <c r="X772" s="403"/>
      <c r="Y772" s="403"/>
      <c r="Z772" s="403"/>
      <c r="AA772" s="400"/>
      <c r="AB772" s="400"/>
      <c r="AC772" s="400"/>
      <c r="AD772" s="400"/>
      <c r="AE772" s="400"/>
      <c r="AF772" s="400"/>
      <c r="AG772" s="400"/>
      <c r="AH772" s="400"/>
      <c r="AI772" s="400"/>
      <c r="AJ772" s="400"/>
      <c r="AK772" s="400"/>
      <c r="AL772" s="400"/>
      <c r="AM772" s="404"/>
      <c r="AN772" s="404"/>
      <c r="AO772" s="404"/>
      <c r="AP772" s="404"/>
      <c r="AQ772" s="404"/>
      <c r="AR772" s="404"/>
      <c r="AS772" s="400"/>
      <c r="AT772" s="400"/>
      <c r="AU772" s="400"/>
      <c r="AV772" s="400"/>
      <c r="AW772" s="400"/>
      <c r="AX772" s="400"/>
      <c r="AY772" s="400"/>
      <c r="AZ772" s="400"/>
      <c r="BA772" s="400"/>
      <c r="BB772" s="400"/>
      <c r="BC772" s="400"/>
      <c r="BD772" s="400"/>
      <c r="BE772" s="405"/>
      <c r="BF772" s="405"/>
      <c r="BG772" s="405"/>
      <c r="BH772" s="405"/>
      <c r="BI772" s="405"/>
      <c r="BJ772" s="405"/>
      <c r="BK772" s="405"/>
      <c r="BL772" s="405"/>
      <c r="BM772" s="405"/>
      <c r="BN772" s="405"/>
      <c r="BO772" s="405"/>
      <c r="BP772" s="405"/>
      <c r="BQ772" s="405"/>
      <c r="BR772" s="405"/>
      <c r="BS772" s="405"/>
      <c r="BT772" s="405"/>
      <c r="BU772" s="405"/>
      <c r="BV772" s="405"/>
      <c r="BW772" s="405"/>
      <c r="BX772" s="6"/>
      <c r="BY772" s="6"/>
      <c r="BZ772" s="6"/>
      <c r="CA772" s="6"/>
      <c r="CB772" s="6"/>
      <c r="CC772" s="6"/>
      <c r="CD772" s="6"/>
      <c r="CE772" s="6"/>
      <c r="CF772" s="6"/>
      <c r="CG772" s="6"/>
    </row>
    <row r="773" spans="1:85" ht="15.75">
      <c r="A773" s="406"/>
      <c r="B773" s="407" t="s">
        <v>941</v>
      </c>
      <c r="C773" s="408"/>
      <c r="D773" s="408"/>
      <c r="E773" s="409">
        <f t="shared" ref="E773:H773" si="3914">SUM(E774:E780)</f>
        <v>0</v>
      </c>
      <c r="F773" s="409">
        <f t="shared" si="3914"/>
        <v>0</v>
      </c>
      <c r="G773" s="409">
        <f t="shared" si="3914"/>
        <v>0</v>
      </c>
      <c r="H773" s="409">
        <f t="shared" si="3914"/>
        <v>0</v>
      </c>
      <c r="I773" s="32" t="e">
        <f>K773/G773</f>
        <v>#DIV/0!</v>
      </c>
      <c r="J773" s="32" t="e">
        <f>O773/G773</f>
        <v>#DIV/0!</v>
      </c>
      <c r="K773" s="384">
        <f t="shared" ref="K773:W773" si="3915">SUM(K774:K780)</f>
        <v>29672</v>
      </c>
      <c r="L773" s="384">
        <f t="shared" si="3915"/>
        <v>0</v>
      </c>
      <c r="M773" s="384">
        <f t="shared" si="3915"/>
        <v>0</v>
      </c>
      <c r="N773" s="384">
        <f t="shared" si="3915"/>
        <v>0</v>
      </c>
      <c r="O773" s="384">
        <f t="shared" si="3915"/>
        <v>29492</v>
      </c>
      <c r="P773" s="384">
        <f t="shared" si="3915"/>
        <v>0</v>
      </c>
      <c r="Q773" s="384">
        <f t="shared" si="3915"/>
        <v>0</v>
      </c>
      <c r="R773" s="384">
        <f t="shared" si="3915"/>
        <v>29492</v>
      </c>
      <c r="S773" s="384">
        <f t="shared" si="3915"/>
        <v>0</v>
      </c>
      <c r="T773" s="384">
        <f t="shared" si="3915"/>
        <v>0</v>
      </c>
      <c r="U773" s="384">
        <f t="shared" si="3915"/>
        <v>180</v>
      </c>
      <c r="V773" s="384">
        <f t="shared" si="3915"/>
        <v>0</v>
      </c>
      <c r="W773" s="384">
        <f t="shared" si="3915"/>
        <v>0</v>
      </c>
      <c r="X773" s="32">
        <f t="shared" ref="X773:Y773" si="3916">IF(O773&gt;0,O773/K773,0)</f>
        <v>0.99393367484497164</v>
      </c>
      <c r="Y773" s="32">
        <f t="shared" si="3916"/>
        <v>0</v>
      </c>
      <c r="Z773" s="32">
        <f t="shared" ref="Z773:Z780" si="3917">IF(Q773&gt;0,Q773/N773,0)</f>
        <v>0</v>
      </c>
      <c r="AA773" s="384">
        <f t="shared" ref="AA773:BW773" si="3918">SUM(AA774:AA780)</f>
        <v>0</v>
      </c>
      <c r="AB773" s="384">
        <f t="shared" si="3918"/>
        <v>0</v>
      </c>
      <c r="AC773" s="384">
        <f t="shared" si="3918"/>
        <v>0</v>
      </c>
      <c r="AD773" s="384">
        <f t="shared" si="3918"/>
        <v>0</v>
      </c>
      <c r="AE773" s="384">
        <f t="shared" si="3918"/>
        <v>0</v>
      </c>
      <c r="AF773" s="384">
        <f t="shared" si="3918"/>
        <v>0</v>
      </c>
      <c r="AG773" s="384">
        <f t="shared" si="3918"/>
        <v>0</v>
      </c>
      <c r="AH773" s="384">
        <f t="shared" si="3918"/>
        <v>0</v>
      </c>
      <c r="AI773" s="384">
        <f t="shared" si="3918"/>
        <v>0</v>
      </c>
      <c r="AJ773" s="384">
        <f t="shared" si="3918"/>
        <v>0</v>
      </c>
      <c r="AK773" s="384">
        <f t="shared" si="3918"/>
        <v>0</v>
      </c>
      <c r="AL773" s="384">
        <f t="shared" si="3918"/>
        <v>0</v>
      </c>
      <c r="AM773" s="384">
        <f t="shared" si="3918"/>
        <v>13700</v>
      </c>
      <c r="AN773" s="384">
        <f t="shared" si="3918"/>
        <v>0</v>
      </c>
      <c r="AO773" s="384">
        <f t="shared" si="3918"/>
        <v>0</v>
      </c>
      <c r="AP773" s="384">
        <f t="shared" si="3918"/>
        <v>15792</v>
      </c>
      <c r="AQ773" s="384">
        <f t="shared" si="3918"/>
        <v>0</v>
      </c>
      <c r="AR773" s="384">
        <f t="shared" si="3918"/>
        <v>0</v>
      </c>
      <c r="AS773" s="384">
        <f t="shared" si="3918"/>
        <v>0</v>
      </c>
      <c r="AT773" s="384">
        <f t="shared" si="3918"/>
        <v>0</v>
      </c>
      <c r="AU773" s="384">
        <f t="shared" si="3918"/>
        <v>0</v>
      </c>
      <c r="AV773" s="384">
        <f t="shared" si="3918"/>
        <v>0</v>
      </c>
      <c r="AW773" s="384">
        <f t="shared" si="3918"/>
        <v>0</v>
      </c>
      <c r="AX773" s="384">
        <f t="shared" si="3918"/>
        <v>0</v>
      </c>
      <c r="AY773" s="384">
        <f t="shared" si="3918"/>
        <v>0</v>
      </c>
      <c r="AZ773" s="384">
        <f t="shared" si="3918"/>
        <v>0</v>
      </c>
      <c r="BA773" s="384">
        <f t="shared" si="3918"/>
        <v>0</v>
      </c>
      <c r="BB773" s="384">
        <f t="shared" si="3918"/>
        <v>0</v>
      </c>
      <c r="BC773" s="384">
        <f t="shared" si="3918"/>
        <v>0</v>
      </c>
      <c r="BD773" s="384">
        <f t="shared" si="3918"/>
        <v>0</v>
      </c>
      <c r="BE773" s="384">
        <f t="shared" si="3918"/>
        <v>0</v>
      </c>
      <c r="BF773" s="384">
        <f t="shared" si="3918"/>
        <v>0</v>
      </c>
      <c r="BG773" s="384">
        <f t="shared" si="3918"/>
        <v>0</v>
      </c>
      <c r="BH773" s="384">
        <f t="shared" si="3918"/>
        <v>0</v>
      </c>
      <c r="BI773" s="384">
        <f t="shared" si="3918"/>
        <v>0</v>
      </c>
      <c r="BJ773" s="384">
        <f t="shared" si="3918"/>
        <v>0</v>
      </c>
      <c r="BK773" s="384">
        <f t="shared" si="3918"/>
        <v>0</v>
      </c>
      <c r="BL773" s="384">
        <f t="shared" si="3918"/>
        <v>0</v>
      </c>
      <c r="BM773" s="384">
        <f t="shared" si="3918"/>
        <v>0</v>
      </c>
      <c r="BN773" s="384">
        <f t="shared" si="3918"/>
        <v>29492</v>
      </c>
      <c r="BO773" s="384">
        <f t="shared" si="3918"/>
        <v>0</v>
      </c>
      <c r="BP773" s="384">
        <f t="shared" si="3918"/>
        <v>29492</v>
      </c>
      <c r="BQ773" s="384">
        <f t="shared" si="3918"/>
        <v>180</v>
      </c>
      <c r="BR773" s="384">
        <f t="shared" si="3918"/>
        <v>0</v>
      </c>
      <c r="BS773" s="384">
        <f t="shared" si="3918"/>
        <v>180</v>
      </c>
      <c r="BT773" s="384">
        <f t="shared" si="3918"/>
        <v>0</v>
      </c>
      <c r="BU773" s="384">
        <f t="shared" si="3918"/>
        <v>29492</v>
      </c>
      <c r="BV773" s="384">
        <f t="shared" si="3918"/>
        <v>180</v>
      </c>
      <c r="BW773" s="384">
        <f t="shared" si="3918"/>
        <v>29672</v>
      </c>
      <c r="BX773" s="6"/>
      <c r="BY773" s="6"/>
      <c r="BZ773" s="6"/>
      <c r="CA773" s="6"/>
      <c r="CB773" s="6"/>
      <c r="CC773" s="6"/>
      <c r="CD773" s="6"/>
      <c r="CE773" s="6"/>
      <c r="CF773" s="6"/>
      <c r="CG773" s="6"/>
    </row>
    <row r="774" spans="1:85" ht="15.75" customHeight="1">
      <c r="A774" s="410" t="s">
        <v>942</v>
      </c>
      <c r="B774" s="411"/>
      <c r="C774" s="68" t="s">
        <v>434</v>
      </c>
      <c r="D774" s="124" t="s">
        <v>943</v>
      </c>
      <c r="E774" s="99">
        <v>0</v>
      </c>
      <c r="F774" s="99">
        <v>0</v>
      </c>
      <c r="G774" s="58">
        <f t="shared" ref="G774:G780" si="3919">E774-F774</f>
        <v>0</v>
      </c>
      <c r="H774" s="99">
        <v>0</v>
      </c>
      <c r="I774" s="59">
        <f t="shared" ref="I774:I780" si="3920">IF(G774&gt;0,K774/G774,0)</f>
        <v>0</v>
      </c>
      <c r="J774" s="59">
        <f t="shared" ref="J774:J780" si="3921">IF(G774&gt;0,O774/G774,0)</f>
        <v>0</v>
      </c>
      <c r="K774" s="74">
        <v>13700</v>
      </c>
      <c r="L774" s="74">
        <v>0</v>
      </c>
      <c r="M774" s="74">
        <v>0</v>
      </c>
      <c r="N774" s="74">
        <v>0</v>
      </c>
      <c r="O774" s="61">
        <f t="shared" ref="O774:Q774" si="3922">AA774+AD774+AG774+AJ774+AM774+AP774+AS774+AV774+AY774+BB774+BE774+BH774</f>
        <v>13700</v>
      </c>
      <c r="P774" s="61">
        <f t="shared" si="3922"/>
        <v>0</v>
      </c>
      <c r="Q774" s="61">
        <f t="shared" si="3922"/>
        <v>0</v>
      </c>
      <c r="R774" s="61">
        <f t="shared" ref="R774:T774" si="3923">IF(BK774=0,SUM(AA774+AD774+AG774+AJ774+AM774+AP774+AS774+AV774+AY774+BB774+BE774+BH774),BK774)</f>
        <v>13700</v>
      </c>
      <c r="S774" s="61">
        <f t="shared" si="3923"/>
        <v>0</v>
      </c>
      <c r="T774" s="61">
        <f t="shared" si="3923"/>
        <v>0</v>
      </c>
      <c r="U774" s="63">
        <f t="shared" ref="U774:U780" si="3924">K774-O774</f>
        <v>0</v>
      </c>
      <c r="V774" s="63">
        <f t="shared" ref="V774:V780" si="3925">L774-M774-S774</f>
        <v>0</v>
      </c>
      <c r="W774" s="63">
        <f t="shared" ref="W774:W780" si="3926">N774-Q774</f>
        <v>0</v>
      </c>
      <c r="X774" s="64">
        <f t="shared" ref="X774:Y774" si="3927">IF(O774&gt;0,O774/K774,0)</f>
        <v>1</v>
      </c>
      <c r="Y774" s="64">
        <f t="shared" si="3927"/>
        <v>0</v>
      </c>
      <c r="Z774" s="64">
        <f t="shared" si="3917"/>
        <v>0</v>
      </c>
      <c r="AA774" s="65"/>
      <c r="AB774" s="65"/>
      <c r="AC774" s="65"/>
      <c r="AD774" s="65"/>
      <c r="AE774" s="66"/>
      <c r="AF774" s="66"/>
      <c r="AG774" s="66"/>
      <c r="AH774" s="66"/>
      <c r="AI774" s="65"/>
      <c r="AJ774" s="65"/>
      <c r="AK774" s="65"/>
      <c r="AL774" s="65"/>
      <c r="AM774" s="65">
        <f>13700</f>
        <v>13700</v>
      </c>
      <c r="AN774" s="65"/>
      <c r="AO774" s="65"/>
      <c r="AP774" s="65"/>
      <c r="AQ774" s="65"/>
      <c r="AR774" s="65"/>
      <c r="AS774" s="65"/>
      <c r="AT774" s="65"/>
      <c r="AU774" s="65"/>
      <c r="AV774" s="65"/>
      <c r="AW774" s="65"/>
      <c r="AX774" s="65"/>
      <c r="AY774" s="65"/>
      <c r="AZ774" s="65"/>
      <c r="BA774" s="65"/>
      <c r="BB774" s="65"/>
      <c r="BC774" s="65"/>
      <c r="BD774" s="65"/>
      <c r="BE774" s="65"/>
      <c r="BF774" s="65"/>
      <c r="BG774" s="65"/>
      <c r="BH774" s="65"/>
      <c r="BI774" s="65"/>
      <c r="BJ774" s="65"/>
      <c r="BK774" s="65">
        <v>0</v>
      </c>
      <c r="BL774" s="65">
        <v>0</v>
      </c>
      <c r="BM774" s="65">
        <v>0</v>
      </c>
      <c r="BN774" s="65">
        <f t="shared" ref="BN774:BN780" si="3928">IF(O774-BK774&gt;0,O774-BK774,0)</f>
        <v>13700</v>
      </c>
      <c r="BO774" s="67">
        <f t="shared" ref="BO774:BO780" si="3929">IF(Q774-BM774&gt;0,Q774-BM774,0)</f>
        <v>0</v>
      </c>
      <c r="BP774" s="65">
        <f t="shared" ref="BP774:BP780" si="3930">IF(BN774+BO774&gt;0,BN774+BO774,0)</f>
        <v>13700</v>
      </c>
      <c r="BQ774" s="65">
        <f t="shared" ref="BQ774:BQ780" si="3931">IF(U774=0,0,U774)</f>
        <v>0</v>
      </c>
      <c r="BR774" s="65">
        <f t="shared" ref="BR774:BR780" si="3932">IF(W774=0,0,W774)</f>
        <v>0</v>
      </c>
      <c r="BS774" s="65">
        <f t="shared" ref="BS774:BS780" si="3933">IF(BQ774+BR774&gt;0,BQ774+BR774,0)</f>
        <v>0</v>
      </c>
      <c r="BT774" s="65">
        <f t="shared" ref="BT774:BT780" si="3934">IF(V774&gt;0,V774,0)</f>
        <v>0</v>
      </c>
      <c r="BU774" s="65">
        <f t="shared" ref="BU774:BU780" si="3935">IF(BP774=0,0,BP774)</f>
        <v>13700</v>
      </c>
      <c r="BV774" s="65">
        <f t="shared" ref="BV774:BV780" si="3936">IF(BS774=0,0,BS774)</f>
        <v>0</v>
      </c>
      <c r="BW774" s="65">
        <f t="shared" ref="BW774:BW780" si="3937">IF(BP774+BT774+BV774&gt;0,BP774+BT774+BV774,0)</f>
        <v>13700</v>
      </c>
      <c r="BX774" s="6"/>
      <c r="BY774" s="6"/>
      <c r="BZ774" s="6"/>
      <c r="CA774" s="6"/>
      <c r="CB774" s="6"/>
      <c r="CC774" s="6"/>
      <c r="CD774" s="6"/>
      <c r="CE774" s="6"/>
      <c r="CF774" s="6"/>
      <c r="CG774" s="6"/>
    </row>
    <row r="775" spans="1:85" ht="15.75" customHeight="1">
      <c r="A775" s="410" t="s">
        <v>944</v>
      </c>
      <c r="B775" s="411"/>
      <c r="C775" s="104" t="s">
        <v>456</v>
      </c>
      <c r="D775" s="105" t="s">
        <v>945</v>
      </c>
      <c r="E775" s="99">
        <v>0</v>
      </c>
      <c r="F775" s="99">
        <v>0</v>
      </c>
      <c r="G775" s="58">
        <f t="shared" si="3919"/>
        <v>0</v>
      </c>
      <c r="H775" s="99">
        <v>0</v>
      </c>
      <c r="I775" s="59">
        <f t="shared" si="3920"/>
        <v>0</v>
      </c>
      <c r="J775" s="59">
        <f t="shared" si="3921"/>
        <v>0</v>
      </c>
      <c r="K775" s="74">
        <v>15972</v>
      </c>
      <c r="L775" s="74">
        <v>0</v>
      </c>
      <c r="M775" s="74">
        <v>0</v>
      </c>
      <c r="N775" s="74">
        <v>0</v>
      </c>
      <c r="O775" s="61">
        <f t="shared" ref="O775:Q775" si="3938">AA775+AD775+AG775+AJ775+AM775+AP775+AS775+AV775+AY775+BB775+BE775+BH775</f>
        <v>15792</v>
      </c>
      <c r="P775" s="61">
        <f t="shared" si="3938"/>
        <v>0</v>
      </c>
      <c r="Q775" s="61">
        <f t="shared" si="3938"/>
        <v>0</v>
      </c>
      <c r="R775" s="61">
        <f t="shared" ref="R775:T775" si="3939">IF(BK775=0,SUM(AA775+AD775+AG775+AJ775+AM775+AP775+AS775+AV775+AY775+BB775+BE775+BH775),BK775)</f>
        <v>15792</v>
      </c>
      <c r="S775" s="61">
        <f t="shared" si="3939"/>
        <v>0</v>
      </c>
      <c r="T775" s="61">
        <f t="shared" si="3939"/>
        <v>0</v>
      </c>
      <c r="U775" s="62">
        <f t="shared" si="3924"/>
        <v>180</v>
      </c>
      <c r="V775" s="63">
        <f t="shared" si="3925"/>
        <v>0</v>
      </c>
      <c r="W775" s="63">
        <f t="shared" si="3926"/>
        <v>0</v>
      </c>
      <c r="X775" s="64">
        <f t="shared" ref="X775:Y775" si="3940">IF(O775&gt;0,O775/K775,0)</f>
        <v>0.98873027798647628</v>
      </c>
      <c r="Y775" s="64">
        <f t="shared" si="3940"/>
        <v>0</v>
      </c>
      <c r="Z775" s="64">
        <f t="shared" si="3917"/>
        <v>0</v>
      </c>
      <c r="AA775" s="65"/>
      <c r="AB775" s="65"/>
      <c r="AC775" s="65"/>
      <c r="AD775" s="65"/>
      <c r="AE775" s="66"/>
      <c r="AF775" s="66"/>
      <c r="AG775" s="66"/>
      <c r="AH775" s="66"/>
      <c r="AI775" s="65"/>
      <c r="AJ775" s="65"/>
      <c r="AK775" s="65"/>
      <c r="AL775" s="65"/>
      <c r="AM775" s="65"/>
      <c r="AN775" s="65"/>
      <c r="AO775" s="65"/>
      <c r="AP775" s="100">
        <v>15792</v>
      </c>
      <c r="AQ775" s="65"/>
      <c r="AR775" s="65"/>
      <c r="AS775" s="65"/>
      <c r="AT775" s="65"/>
      <c r="AU775" s="65"/>
      <c r="AV775" s="65"/>
      <c r="AW775" s="65"/>
      <c r="AX775" s="65"/>
      <c r="AY775" s="65"/>
      <c r="AZ775" s="65"/>
      <c r="BA775" s="65"/>
      <c r="BB775" s="65"/>
      <c r="BC775" s="65"/>
      <c r="BD775" s="65"/>
      <c r="BE775" s="65"/>
      <c r="BF775" s="65"/>
      <c r="BG775" s="65"/>
      <c r="BH775" s="65"/>
      <c r="BI775" s="65"/>
      <c r="BJ775" s="65"/>
      <c r="BK775" s="65">
        <v>0</v>
      </c>
      <c r="BL775" s="65">
        <v>0</v>
      </c>
      <c r="BM775" s="65">
        <v>0</v>
      </c>
      <c r="BN775" s="65">
        <f t="shared" si="3928"/>
        <v>15792</v>
      </c>
      <c r="BO775" s="67">
        <f t="shared" si="3929"/>
        <v>0</v>
      </c>
      <c r="BP775" s="65">
        <f t="shared" si="3930"/>
        <v>15792</v>
      </c>
      <c r="BQ775" s="65">
        <f t="shared" si="3931"/>
        <v>180</v>
      </c>
      <c r="BR775" s="65">
        <f t="shared" si="3932"/>
        <v>0</v>
      </c>
      <c r="BS775" s="65">
        <f t="shared" si="3933"/>
        <v>180</v>
      </c>
      <c r="BT775" s="65">
        <f t="shared" si="3934"/>
        <v>0</v>
      </c>
      <c r="BU775" s="65">
        <f t="shared" si="3935"/>
        <v>15792</v>
      </c>
      <c r="BV775" s="65">
        <f t="shared" si="3936"/>
        <v>180</v>
      </c>
      <c r="BW775" s="65">
        <f t="shared" si="3937"/>
        <v>15972</v>
      </c>
      <c r="BX775" s="6"/>
      <c r="BY775" s="6"/>
      <c r="BZ775" s="6"/>
      <c r="CA775" s="6"/>
      <c r="CB775" s="6"/>
      <c r="CC775" s="6"/>
      <c r="CD775" s="6"/>
      <c r="CE775" s="6"/>
      <c r="CF775" s="6"/>
      <c r="CG775" s="6"/>
    </row>
    <row r="776" spans="1:85" ht="15.75" customHeight="1">
      <c r="A776" s="272"/>
      <c r="B776" s="411"/>
      <c r="C776" s="68"/>
      <c r="D776" s="387" t="s">
        <v>934</v>
      </c>
      <c r="E776" s="99">
        <v>0</v>
      </c>
      <c r="F776" s="99">
        <v>0</v>
      </c>
      <c r="G776" s="58">
        <f t="shared" si="3919"/>
        <v>0</v>
      </c>
      <c r="H776" s="99">
        <v>0</v>
      </c>
      <c r="I776" s="59">
        <f t="shared" si="3920"/>
        <v>0</v>
      </c>
      <c r="J776" s="59">
        <f t="shared" si="3921"/>
        <v>0</v>
      </c>
      <c r="K776" s="74">
        <v>0</v>
      </c>
      <c r="L776" s="74">
        <v>0</v>
      </c>
      <c r="M776" s="74">
        <v>0</v>
      </c>
      <c r="N776" s="74">
        <v>0</v>
      </c>
      <c r="O776" s="61">
        <f t="shared" ref="O776:Q776" si="3941">AA776+AD776+AG776+AJ776+AM776+AP776+AS776+AV776+AY776+BB776+BE776+BH776</f>
        <v>0</v>
      </c>
      <c r="P776" s="61">
        <f t="shared" si="3941"/>
        <v>0</v>
      </c>
      <c r="Q776" s="61">
        <f t="shared" si="3941"/>
        <v>0</v>
      </c>
      <c r="R776" s="61">
        <f t="shared" ref="R776:T776" si="3942">IF(BK776=0,SUM(AA776+AD776+AG776+AJ776+AM776+AP776+AS776+AV776+AY776+BB776+BE776+BH776),BK776)</f>
        <v>0</v>
      </c>
      <c r="S776" s="61">
        <f t="shared" si="3942"/>
        <v>0</v>
      </c>
      <c r="T776" s="61">
        <f t="shared" si="3942"/>
        <v>0</v>
      </c>
      <c r="U776" s="63">
        <f t="shared" si="3924"/>
        <v>0</v>
      </c>
      <c r="V776" s="63">
        <f t="shared" si="3925"/>
        <v>0</v>
      </c>
      <c r="W776" s="63">
        <f t="shared" si="3926"/>
        <v>0</v>
      </c>
      <c r="X776" s="64">
        <f t="shared" ref="X776:Y776" si="3943">IF(O776&gt;0,O776/K776,0)</f>
        <v>0</v>
      </c>
      <c r="Y776" s="64">
        <f t="shared" si="3943"/>
        <v>0</v>
      </c>
      <c r="Z776" s="64">
        <f t="shared" si="3917"/>
        <v>0</v>
      </c>
      <c r="AA776" s="65"/>
      <c r="AB776" s="65"/>
      <c r="AC776" s="65"/>
      <c r="AD776" s="65"/>
      <c r="AE776" s="66"/>
      <c r="AF776" s="66"/>
      <c r="AG776" s="66"/>
      <c r="AH776" s="66"/>
      <c r="AI776" s="65"/>
      <c r="AJ776" s="65"/>
      <c r="AK776" s="65"/>
      <c r="AL776" s="65"/>
      <c r="AM776" s="65"/>
      <c r="AN776" s="65"/>
      <c r="AO776" s="65"/>
      <c r="AP776" s="65"/>
      <c r="AQ776" s="65"/>
      <c r="AR776" s="65"/>
      <c r="AS776" s="65"/>
      <c r="AT776" s="65"/>
      <c r="AU776" s="65"/>
      <c r="AV776" s="65"/>
      <c r="AW776" s="65"/>
      <c r="AX776" s="65"/>
      <c r="AY776" s="65"/>
      <c r="AZ776" s="65"/>
      <c r="BA776" s="65"/>
      <c r="BB776" s="65"/>
      <c r="BC776" s="65"/>
      <c r="BD776" s="65"/>
      <c r="BE776" s="65"/>
      <c r="BF776" s="65"/>
      <c r="BG776" s="65"/>
      <c r="BH776" s="65"/>
      <c r="BI776" s="65"/>
      <c r="BJ776" s="65"/>
      <c r="BK776" s="65">
        <v>0</v>
      </c>
      <c r="BL776" s="65">
        <v>0</v>
      </c>
      <c r="BM776" s="65">
        <v>0</v>
      </c>
      <c r="BN776" s="65">
        <f t="shared" si="3928"/>
        <v>0</v>
      </c>
      <c r="BO776" s="67">
        <f t="shared" si="3929"/>
        <v>0</v>
      </c>
      <c r="BP776" s="65">
        <f t="shared" si="3930"/>
        <v>0</v>
      </c>
      <c r="BQ776" s="65">
        <f t="shared" si="3931"/>
        <v>0</v>
      </c>
      <c r="BR776" s="65">
        <f t="shared" si="3932"/>
        <v>0</v>
      </c>
      <c r="BS776" s="65">
        <f t="shared" si="3933"/>
        <v>0</v>
      </c>
      <c r="BT776" s="65">
        <f t="shared" si="3934"/>
        <v>0</v>
      </c>
      <c r="BU776" s="65">
        <f t="shared" si="3935"/>
        <v>0</v>
      </c>
      <c r="BV776" s="65">
        <f t="shared" si="3936"/>
        <v>0</v>
      </c>
      <c r="BW776" s="65">
        <f t="shared" si="3937"/>
        <v>0</v>
      </c>
      <c r="BX776" s="6"/>
      <c r="BY776" s="6"/>
      <c r="BZ776" s="6"/>
      <c r="CA776" s="6"/>
      <c r="CB776" s="6"/>
      <c r="CC776" s="6"/>
      <c r="CD776" s="6"/>
      <c r="CE776" s="6"/>
      <c r="CF776" s="6"/>
      <c r="CG776" s="6"/>
    </row>
    <row r="777" spans="1:85" ht="15.75" customHeight="1">
      <c r="A777" s="272"/>
      <c r="B777" s="411"/>
      <c r="C777" s="68"/>
      <c r="D777" s="122"/>
      <c r="E777" s="99">
        <v>0</v>
      </c>
      <c r="F777" s="99">
        <v>0</v>
      </c>
      <c r="G777" s="58">
        <f t="shared" si="3919"/>
        <v>0</v>
      </c>
      <c r="H777" s="99">
        <v>0</v>
      </c>
      <c r="I777" s="59">
        <f t="shared" si="3920"/>
        <v>0</v>
      </c>
      <c r="J777" s="59">
        <f t="shared" si="3921"/>
        <v>0</v>
      </c>
      <c r="K777" s="74">
        <v>0</v>
      </c>
      <c r="L777" s="74">
        <v>0</v>
      </c>
      <c r="M777" s="74">
        <v>0</v>
      </c>
      <c r="N777" s="74">
        <v>0</v>
      </c>
      <c r="O777" s="61">
        <f t="shared" ref="O777:Q777" si="3944">AA777+AD777+AG777+AJ777+AM777+AP777+AS777+AV777+AY777+BB777+BE777+BH777</f>
        <v>0</v>
      </c>
      <c r="P777" s="61">
        <f t="shared" si="3944"/>
        <v>0</v>
      </c>
      <c r="Q777" s="61">
        <f t="shared" si="3944"/>
        <v>0</v>
      </c>
      <c r="R777" s="61">
        <f t="shared" ref="R777:T777" si="3945">IF(BK777=0,SUM(AA777+AD777+AG777+AJ777+AM777+AP777+AS777+AV777+AY777+BB777+BE777+BH777),BK777)</f>
        <v>0</v>
      </c>
      <c r="S777" s="61">
        <f t="shared" si="3945"/>
        <v>0</v>
      </c>
      <c r="T777" s="61">
        <f t="shared" si="3945"/>
        <v>0</v>
      </c>
      <c r="U777" s="63">
        <f t="shared" si="3924"/>
        <v>0</v>
      </c>
      <c r="V777" s="63">
        <f t="shared" si="3925"/>
        <v>0</v>
      </c>
      <c r="W777" s="63">
        <f t="shared" si="3926"/>
        <v>0</v>
      </c>
      <c r="X777" s="64">
        <f t="shared" ref="X777:Y777" si="3946">IF(O777&gt;0,O777/K777,0)</f>
        <v>0</v>
      </c>
      <c r="Y777" s="64">
        <f t="shared" si="3946"/>
        <v>0</v>
      </c>
      <c r="Z777" s="64">
        <f t="shared" si="3917"/>
        <v>0</v>
      </c>
      <c r="AA777" s="65"/>
      <c r="AB777" s="65"/>
      <c r="AC777" s="65"/>
      <c r="AD777" s="65"/>
      <c r="AE777" s="66"/>
      <c r="AF777" s="66"/>
      <c r="AG777" s="66"/>
      <c r="AH777" s="66"/>
      <c r="AI777" s="65"/>
      <c r="AJ777" s="65"/>
      <c r="AK777" s="65"/>
      <c r="AL777" s="65"/>
      <c r="AM777" s="65"/>
      <c r="AN777" s="65"/>
      <c r="AO777" s="65"/>
      <c r="AP777" s="65"/>
      <c r="AQ777" s="65"/>
      <c r="AR777" s="65"/>
      <c r="AS777" s="65"/>
      <c r="AT777" s="65"/>
      <c r="AU777" s="65"/>
      <c r="AV777" s="65"/>
      <c r="AW777" s="65"/>
      <c r="AX777" s="65"/>
      <c r="AY777" s="65"/>
      <c r="AZ777" s="65"/>
      <c r="BA777" s="65"/>
      <c r="BB777" s="65"/>
      <c r="BC777" s="65"/>
      <c r="BD777" s="65"/>
      <c r="BE777" s="65"/>
      <c r="BF777" s="65"/>
      <c r="BG777" s="65"/>
      <c r="BH777" s="65"/>
      <c r="BI777" s="65"/>
      <c r="BJ777" s="65"/>
      <c r="BK777" s="65">
        <v>0</v>
      </c>
      <c r="BL777" s="65">
        <v>0</v>
      </c>
      <c r="BM777" s="65">
        <v>0</v>
      </c>
      <c r="BN777" s="65">
        <f t="shared" si="3928"/>
        <v>0</v>
      </c>
      <c r="BO777" s="67">
        <f t="shared" si="3929"/>
        <v>0</v>
      </c>
      <c r="BP777" s="65">
        <f t="shared" si="3930"/>
        <v>0</v>
      </c>
      <c r="BQ777" s="65">
        <f t="shared" si="3931"/>
        <v>0</v>
      </c>
      <c r="BR777" s="65">
        <f t="shared" si="3932"/>
        <v>0</v>
      </c>
      <c r="BS777" s="65">
        <f t="shared" si="3933"/>
        <v>0</v>
      </c>
      <c r="BT777" s="65">
        <f t="shared" si="3934"/>
        <v>0</v>
      </c>
      <c r="BU777" s="65">
        <f t="shared" si="3935"/>
        <v>0</v>
      </c>
      <c r="BV777" s="65">
        <f t="shared" si="3936"/>
        <v>0</v>
      </c>
      <c r="BW777" s="65">
        <f t="shared" si="3937"/>
        <v>0</v>
      </c>
      <c r="BX777" s="6"/>
      <c r="BY777" s="6"/>
      <c r="BZ777" s="6"/>
      <c r="CA777" s="6"/>
      <c r="CB777" s="6"/>
      <c r="CC777" s="6"/>
      <c r="CD777" s="6"/>
      <c r="CE777" s="6"/>
      <c r="CF777" s="6"/>
      <c r="CG777" s="6"/>
    </row>
    <row r="778" spans="1:85" ht="15.75" customHeight="1">
      <c r="A778" s="272"/>
      <c r="B778" s="411"/>
      <c r="C778" s="68"/>
      <c r="D778" s="171"/>
      <c r="E778" s="99">
        <v>0</v>
      </c>
      <c r="F778" s="99">
        <v>0</v>
      </c>
      <c r="G778" s="58">
        <f t="shared" si="3919"/>
        <v>0</v>
      </c>
      <c r="H778" s="99">
        <v>0</v>
      </c>
      <c r="I778" s="59">
        <f t="shared" si="3920"/>
        <v>0</v>
      </c>
      <c r="J778" s="59">
        <f t="shared" si="3921"/>
        <v>0</v>
      </c>
      <c r="K778" s="74">
        <v>0</v>
      </c>
      <c r="L778" s="74">
        <v>0</v>
      </c>
      <c r="M778" s="74">
        <v>0</v>
      </c>
      <c r="N778" s="74">
        <v>0</v>
      </c>
      <c r="O778" s="61">
        <f t="shared" ref="O778:Q778" si="3947">AA778+AD778+AG778+AJ778+AM778+AP778+AS778+AV778+AY778+BB778+BE778+BH778</f>
        <v>0</v>
      </c>
      <c r="P778" s="61">
        <f t="shared" si="3947"/>
        <v>0</v>
      </c>
      <c r="Q778" s="61">
        <f t="shared" si="3947"/>
        <v>0</v>
      </c>
      <c r="R778" s="61">
        <f t="shared" ref="R778:T778" si="3948">IF(BK778=0,SUM(AA778+AD778+AG778+AJ778+AM778+AP778+AS778+AV778+AY778+BB778+BE778+BH778),BK778)</f>
        <v>0</v>
      </c>
      <c r="S778" s="61">
        <f t="shared" si="3948"/>
        <v>0</v>
      </c>
      <c r="T778" s="61">
        <f t="shared" si="3948"/>
        <v>0</v>
      </c>
      <c r="U778" s="63">
        <f t="shared" si="3924"/>
        <v>0</v>
      </c>
      <c r="V778" s="63">
        <f t="shared" si="3925"/>
        <v>0</v>
      </c>
      <c r="W778" s="63">
        <f t="shared" si="3926"/>
        <v>0</v>
      </c>
      <c r="X778" s="64">
        <f t="shared" ref="X778:Y778" si="3949">IF(O778&gt;0,O778/K778,0)</f>
        <v>0</v>
      </c>
      <c r="Y778" s="64">
        <f t="shared" si="3949"/>
        <v>0</v>
      </c>
      <c r="Z778" s="64">
        <f t="shared" si="3917"/>
        <v>0</v>
      </c>
      <c r="AA778" s="65"/>
      <c r="AB778" s="65"/>
      <c r="AC778" s="65"/>
      <c r="AD778" s="65"/>
      <c r="AE778" s="66"/>
      <c r="AF778" s="66"/>
      <c r="AG778" s="66"/>
      <c r="AH778" s="66"/>
      <c r="AI778" s="65"/>
      <c r="AJ778" s="65"/>
      <c r="AK778" s="65"/>
      <c r="AL778" s="65"/>
      <c r="AM778" s="65"/>
      <c r="AN778" s="65"/>
      <c r="AO778" s="65"/>
      <c r="AP778" s="65"/>
      <c r="AQ778" s="65"/>
      <c r="AR778" s="65"/>
      <c r="AS778" s="65"/>
      <c r="AT778" s="65"/>
      <c r="AU778" s="65"/>
      <c r="AV778" s="65"/>
      <c r="AW778" s="65"/>
      <c r="AX778" s="65"/>
      <c r="AY778" s="65"/>
      <c r="AZ778" s="65"/>
      <c r="BA778" s="65"/>
      <c r="BB778" s="65"/>
      <c r="BC778" s="65"/>
      <c r="BD778" s="65"/>
      <c r="BE778" s="65"/>
      <c r="BF778" s="65"/>
      <c r="BG778" s="65"/>
      <c r="BH778" s="65"/>
      <c r="BI778" s="65"/>
      <c r="BJ778" s="65"/>
      <c r="BK778" s="65">
        <v>0</v>
      </c>
      <c r="BL778" s="65">
        <v>0</v>
      </c>
      <c r="BM778" s="65">
        <v>0</v>
      </c>
      <c r="BN778" s="65">
        <f t="shared" si="3928"/>
        <v>0</v>
      </c>
      <c r="BO778" s="67">
        <f t="shared" si="3929"/>
        <v>0</v>
      </c>
      <c r="BP778" s="65">
        <f t="shared" si="3930"/>
        <v>0</v>
      </c>
      <c r="BQ778" s="65">
        <f t="shared" si="3931"/>
        <v>0</v>
      </c>
      <c r="BR778" s="65">
        <f t="shared" si="3932"/>
        <v>0</v>
      </c>
      <c r="BS778" s="65">
        <f t="shared" si="3933"/>
        <v>0</v>
      </c>
      <c r="BT778" s="65">
        <f t="shared" si="3934"/>
        <v>0</v>
      </c>
      <c r="BU778" s="65">
        <f t="shared" si="3935"/>
        <v>0</v>
      </c>
      <c r="BV778" s="65">
        <f t="shared" si="3936"/>
        <v>0</v>
      </c>
      <c r="BW778" s="65">
        <f t="shared" si="3937"/>
        <v>0</v>
      </c>
      <c r="BX778" s="6"/>
      <c r="BY778" s="6"/>
      <c r="BZ778" s="6"/>
      <c r="CA778" s="6"/>
      <c r="CB778" s="6"/>
      <c r="CC778" s="6"/>
      <c r="CD778" s="6"/>
      <c r="CE778" s="6"/>
      <c r="CF778" s="6"/>
      <c r="CG778" s="6"/>
    </row>
    <row r="779" spans="1:85" ht="15.75" customHeight="1">
      <c r="A779" s="272"/>
      <c r="B779" s="411"/>
      <c r="C779" s="68"/>
      <c r="D779" s="171"/>
      <c r="E779" s="99">
        <v>0</v>
      </c>
      <c r="F779" s="99">
        <v>0</v>
      </c>
      <c r="G779" s="58">
        <f t="shared" si="3919"/>
        <v>0</v>
      </c>
      <c r="H779" s="99">
        <v>0</v>
      </c>
      <c r="I779" s="59">
        <f t="shared" si="3920"/>
        <v>0</v>
      </c>
      <c r="J779" s="59">
        <f t="shared" si="3921"/>
        <v>0</v>
      </c>
      <c r="K779" s="74">
        <v>0</v>
      </c>
      <c r="L779" s="74">
        <v>0</v>
      </c>
      <c r="M779" s="74">
        <v>0</v>
      </c>
      <c r="N779" s="74">
        <v>0</v>
      </c>
      <c r="O779" s="61">
        <f t="shared" ref="O779:Q779" si="3950">AA779+AD779+AG779+AJ779+AM779+AP779+AS779+AV779+AY779+BB779+BE779+BH779</f>
        <v>0</v>
      </c>
      <c r="P779" s="61">
        <f t="shared" si="3950"/>
        <v>0</v>
      </c>
      <c r="Q779" s="61">
        <f t="shared" si="3950"/>
        <v>0</v>
      </c>
      <c r="R779" s="61">
        <f t="shared" ref="R779:T779" si="3951">IF(BK779=0,SUM(AA779+AD779+AG779+AJ779+AM779+AP779+AS779+AV779+AY779+BB779+BE779+BH779),BK779)</f>
        <v>0</v>
      </c>
      <c r="S779" s="61">
        <f t="shared" si="3951"/>
        <v>0</v>
      </c>
      <c r="T779" s="61">
        <f t="shared" si="3951"/>
        <v>0</v>
      </c>
      <c r="U779" s="63">
        <f t="shared" si="3924"/>
        <v>0</v>
      </c>
      <c r="V779" s="63">
        <f t="shared" si="3925"/>
        <v>0</v>
      </c>
      <c r="W779" s="63">
        <f t="shared" si="3926"/>
        <v>0</v>
      </c>
      <c r="X779" s="64">
        <f t="shared" ref="X779:Y779" si="3952">IF(O779&gt;0,O779/K779,0)</f>
        <v>0</v>
      </c>
      <c r="Y779" s="64">
        <f t="shared" si="3952"/>
        <v>0</v>
      </c>
      <c r="Z779" s="64">
        <f t="shared" si="3917"/>
        <v>0</v>
      </c>
      <c r="AA779" s="65"/>
      <c r="AB779" s="65"/>
      <c r="AC779" s="65"/>
      <c r="AD779" s="65"/>
      <c r="AE779" s="66"/>
      <c r="AF779" s="66"/>
      <c r="AG779" s="66"/>
      <c r="AH779" s="66"/>
      <c r="AI779" s="65"/>
      <c r="AJ779" s="65"/>
      <c r="AK779" s="65"/>
      <c r="AL779" s="65"/>
      <c r="AM779" s="65"/>
      <c r="AN779" s="65"/>
      <c r="AO779" s="65"/>
      <c r="AP779" s="65"/>
      <c r="AQ779" s="65"/>
      <c r="AR779" s="65"/>
      <c r="AS779" s="65"/>
      <c r="AT779" s="65"/>
      <c r="AU779" s="65"/>
      <c r="AV779" s="65"/>
      <c r="AW779" s="65"/>
      <c r="AX779" s="65"/>
      <c r="AY779" s="65"/>
      <c r="AZ779" s="65"/>
      <c r="BA779" s="65"/>
      <c r="BB779" s="65"/>
      <c r="BC779" s="65"/>
      <c r="BD779" s="65"/>
      <c r="BE779" s="65"/>
      <c r="BF779" s="65"/>
      <c r="BG779" s="65"/>
      <c r="BH779" s="65"/>
      <c r="BI779" s="65"/>
      <c r="BJ779" s="65"/>
      <c r="BK779" s="65">
        <v>0</v>
      </c>
      <c r="BL779" s="65">
        <v>0</v>
      </c>
      <c r="BM779" s="65">
        <v>0</v>
      </c>
      <c r="BN779" s="65">
        <f t="shared" si="3928"/>
        <v>0</v>
      </c>
      <c r="BO779" s="67">
        <f t="shared" si="3929"/>
        <v>0</v>
      </c>
      <c r="BP779" s="65">
        <f t="shared" si="3930"/>
        <v>0</v>
      </c>
      <c r="BQ779" s="65">
        <f t="shared" si="3931"/>
        <v>0</v>
      </c>
      <c r="BR779" s="65">
        <f t="shared" si="3932"/>
        <v>0</v>
      </c>
      <c r="BS779" s="65">
        <f t="shared" si="3933"/>
        <v>0</v>
      </c>
      <c r="BT779" s="65">
        <f t="shared" si="3934"/>
        <v>0</v>
      </c>
      <c r="BU779" s="65">
        <f t="shared" si="3935"/>
        <v>0</v>
      </c>
      <c r="BV779" s="65">
        <f t="shared" si="3936"/>
        <v>0</v>
      </c>
      <c r="BW779" s="65">
        <f t="shared" si="3937"/>
        <v>0</v>
      </c>
      <c r="BX779" s="6"/>
      <c r="BY779" s="6"/>
      <c r="BZ779" s="6"/>
      <c r="CA779" s="6"/>
      <c r="CB779" s="6"/>
      <c r="CC779" s="6"/>
      <c r="CD779" s="6"/>
      <c r="CE779" s="6"/>
      <c r="CF779" s="6"/>
      <c r="CG779" s="6"/>
    </row>
    <row r="780" spans="1:85" ht="15.75" customHeight="1">
      <c r="A780" s="272"/>
      <c r="B780" s="411"/>
      <c r="C780" s="68"/>
      <c r="D780" s="387"/>
      <c r="E780" s="99">
        <v>0</v>
      </c>
      <c r="F780" s="99">
        <v>0</v>
      </c>
      <c r="G780" s="58">
        <f t="shared" si="3919"/>
        <v>0</v>
      </c>
      <c r="H780" s="99">
        <v>0</v>
      </c>
      <c r="I780" s="59">
        <f t="shared" si="3920"/>
        <v>0</v>
      </c>
      <c r="J780" s="59">
        <f t="shared" si="3921"/>
        <v>0</v>
      </c>
      <c r="K780" s="74">
        <v>0</v>
      </c>
      <c r="L780" s="74">
        <v>0</v>
      </c>
      <c r="M780" s="74">
        <v>0</v>
      </c>
      <c r="N780" s="74">
        <v>0</v>
      </c>
      <c r="O780" s="61">
        <f t="shared" ref="O780:Q780" si="3953">AA780+AD780+AG780+AJ780+AM780+AP780+AS780+AV780+AY780+BB780+BE780+BH780</f>
        <v>0</v>
      </c>
      <c r="P780" s="61">
        <f t="shared" si="3953"/>
        <v>0</v>
      </c>
      <c r="Q780" s="61">
        <f t="shared" si="3953"/>
        <v>0</v>
      </c>
      <c r="R780" s="61">
        <f t="shared" ref="R780:T780" si="3954">IF(BK780=0,SUM(AA780+AD780+AG780+AJ780+AM780+AP780+AS780+AV780+AY780+BB780+BE780+BH780),BK780)</f>
        <v>0</v>
      </c>
      <c r="S780" s="61">
        <f t="shared" si="3954"/>
        <v>0</v>
      </c>
      <c r="T780" s="61">
        <f t="shared" si="3954"/>
        <v>0</v>
      </c>
      <c r="U780" s="63">
        <f t="shared" si="3924"/>
        <v>0</v>
      </c>
      <c r="V780" s="63">
        <f t="shared" si="3925"/>
        <v>0</v>
      </c>
      <c r="W780" s="63">
        <f t="shared" si="3926"/>
        <v>0</v>
      </c>
      <c r="X780" s="64">
        <f t="shared" ref="X780:Y780" si="3955">IF(O780&gt;0,O780/K780,0)</f>
        <v>0</v>
      </c>
      <c r="Y780" s="64">
        <f t="shared" si="3955"/>
        <v>0</v>
      </c>
      <c r="Z780" s="64">
        <f t="shared" si="3917"/>
        <v>0</v>
      </c>
      <c r="AA780" s="65"/>
      <c r="AB780" s="65"/>
      <c r="AC780" s="65"/>
      <c r="AD780" s="65"/>
      <c r="AE780" s="66"/>
      <c r="AF780" s="66"/>
      <c r="AG780" s="66"/>
      <c r="AH780" s="66"/>
      <c r="AI780" s="65"/>
      <c r="AJ780" s="65"/>
      <c r="AK780" s="65"/>
      <c r="AL780" s="65"/>
      <c r="AM780" s="65"/>
      <c r="AN780" s="65"/>
      <c r="AO780" s="65"/>
      <c r="AP780" s="65"/>
      <c r="AQ780" s="65"/>
      <c r="AR780" s="65"/>
      <c r="AS780" s="65"/>
      <c r="AT780" s="65"/>
      <c r="AU780" s="65"/>
      <c r="AV780" s="65"/>
      <c r="AW780" s="65"/>
      <c r="AX780" s="65"/>
      <c r="AY780" s="65"/>
      <c r="AZ780" s="65"/>
      <c r="BA780" s="65"/>
      <c r="BB780" s="65"/>
      <c r="BC780" s="65"/>
      <c r="BD780" s="65"/>
      <c r="BE780" s="65"/>
      <c r="BF780" s="65"/>
      <c r="BG780" s="65"/>
      <c r="BH780" s="65"/>
      <c r="BI780" s="65"/>
      <c r="BJ780" s="65"/>
      <c r="BK780" s="100">
        <v>0</v>
      </c>
      <c r="BL780" s="65">
        <v>0</v>
      </c>
      <c r="BM780" s="65">
        <v>0</v>
      </c>
      <c r="BN780" s="65">
        <f t="shared" si="3928"/>
        <v>0</v>
      </c>
      <c r="BO780" s="67">
        <f t="shared" si="3929"/>
        <v>0</v>
      </c>
      <c r="BP780" s="65">
        <f t="shared" si="3930"/>
        <v>0</v>
      </c>
      <c r="BQ780" s="65">
        <f t="shared" si="3931"/>
        <v>0</v>
      </c>
      <c r="BR780" s="65">
        <f t="shared" si="3932"/>
        <v>0</v>
      </c>
      <c r="BS780" s="65">
        <f t="shared" si="3933"/>
        <v>0</v>
      </c>
      <c r="BT780" s="65">
        <f t="shared" si="3934"/>
        <v>0</v>
      </c>
      <c r="BU780" s="65">
        <f t="shared" si="3935"/>
        <v>0</v>
      </c>
      <c r="BV780" s="65">
        <f t="shared" si="3936"/>
        <v>0</v>
      </c>
      <c r="BW780" s="65">
        <f t="shared" si="3937"/>
        <v>0</v>
      </c>
      <c r="BX780" s="6"/>
      <c r="BY780" s="6"/>
      <c r="BZ780" s="6"/>
      <c r="CA780" s="6"/>
      <c r="CB780" s="6"/>
      <c r="CC780" s="6"/>
      <c r="CD780" s="6"/>
      <c r="CE780" s="6"/>
      <c r="CF780" s="6"/>
      <c r="CG780" s="6"/>
    </row>
    <row r="781" spans="1:85" ht="15.75" customHeight="1">
      <c r="A781" s="385"/>
      <c r="B781" s="386"/>
      <c r="C781" s="394"/>
      <c r="D781" s="395"/>
      <c r="E781" s="396"/>
      <c r="F781" s="396"/>
      <c r="G781" s="397"/>
      <c r="H781" s="397"/>
      <c r="I781" s="398"/>
      <c r="J781" s="398"/>
      <c r="K781" s="399"/>
      <c r="L781" s="400"/>
      <c r="M781" s="401"/>
      <c r="N781" s="402"/>
      <c r="O781" s="400"/>
      <c r="P781" s="400"/>
      <c r="Q781" s="400"/>
      <c r="R781" s="400"/>
      <c r="S781" s="400"/>
      <c r="T781" s="400"/>
      <c r="U781" s="399"/>
      <c r="V781" s="399"/>
      <c r="W781" s="399"/>
      <c r="X781" s="403"/>
      <c r="Y781" s="403"/>
      <c r="Z781" s="403"/>
      <c r="AA781" s="400"/>
      <c r="AB781" s="400"/>
      <c r="AC781" s="400"/>
      <c r="AD781" s="400"/>
      <c r="AE781" s="400"/>
      <c r="AF781" s="400"/>
      <c r="AG781" s="400"/>
      <c r="AH781" s="400"/>
      <c r="AI781" s="400"/>
      <c r="AJ781" s="400"/>
      <c r="AK781" s="400"/>
      <c r="AL781" s="400"/>
      <c r="AM781" s="404"/>
      <c r="AN781" s="404"/>
      <c r="AO781" s="404"/>
      <c r="AP781" s="404"/>
      <c r="AQ781" s="404"/>
      <c r="AR781" s="404"/>
      <c r="AS781" s="400"/>
      <c r="AT781" s="400"/>
      <c r="AU781" s="400"/>
      <c r="AV781" s="400"/>
      <c r="AW781" s="400"/>
      <c r="AX781" s="400"/>
      <c r="AY781" s="400"/>
      <c r="AZ781" s="400"/>
      <c r="BA781" s="400"/>
      <c r="BB781" s="400"/>
      <c r="BC781" s="400"/>
      <c r="BD781" s="400"/>
      <c r="BE781" s="405"/>
      <c r="BF781" s="405"/>
      <c r="BG781" s="405"/>
      <c r="BH781" s="405"/>
      <c r="BI781" s="405"/>
      <c r="BJ781" s="405"/>
      <c r="BK781" s="405"/>
      <c r="BL781" s="405"/>
      <c r="BM781" s="405"/>
      <c r="BN781" s="405"/>
      <c r="BO781" s="405"/>
      <c r="BP781" s="405"/>
      <c r="BQ781" s="405"/>
      <c r="BR781" s="405"/>
      <c r="BS781" s="405"/>
      <c r="BT781" s="405"/>
      <c r="BU781" s="405"/>
      <c r="BV781" s="405"/>
      <c r="BW781" s="405"/>
      <c r="BX781" s="6"/>
      <c r="BY781" s="6"/>
      <c r="BZ781" s="6"/>
      <c r="CA781" s="6"/>
      <c r="CB781" s="6"/>
      <c r="CC781" s="6"/>
      <c r="CD781" s="6"/>
      <c r="CE781" s="6"/>
      <c r="CF781" s="6"/>
      <c r="CG781" s="6"/>
    </row>
    <row r="782" spans="1:85" ht="15.75" customHeight="1">
      <c r="A782" s="412" t="s">
        <v>946</v>
      </c>
      <c r="B782" s="413"/>
      <c r="C782" s="414"/>
      <c r="D782" s="415" t="s">
        <v>947</v>
      </c>
      <c r="E782" s="416" t="s">
        <v>948</v>
      </c>
      <c r="F782" s="416" t="s">
        <v>949</v>
      </c>
      <c r="G782" s="417" t="s">
        <v>950</v>
      </c>
      <c r="H782" s="417" t="s">
        <v>951</v>
      </c>
      <c r="I782" s="669" t="s">
        <v>952</v>
      </c>
      <c r="J782" s="637"/>
      <c r="K782" s="418" t="s">
        <v>34</v>
      </c>
      <c r="L782" s="419" t="s">
        <v>35</v>
      </c>
      <c r="M782" s="420" t="s">
        <v>953</v>
      </c>
      <c r="N782" s="421" t="s">
        <v>951</v>
      </c>
      <c r="O782" s="419" t="s">
        <v>34</v>
      </c>
      <c r="P782" s="419" t="s">
        <v>35</v>
      </c>
      <c r="Q782" s="419" t="s">
        <v>951</v>
      </c>
      <c r="R782" s="419" t="s">
        <v>34</v>
      </c>
      <c r="S782" s="419" t="s">
        <v>35</v>
      </c>
      <c r="T782" s="419" t="s">
        <v>951</v>
      </c>
      <c r="U782" s="418" t="s">
        <v>34</v>
      </c>
      <c r="V782" s="418" t="s">
        <v>35</v>
      </c>
      <c r="W782" s="418" t="s">
        <v>951</v>
      </c>
      <c r="X782" s="422"/>
      <c r="Y782" s="423"/>
      <c r="Z782" s="424"/>
      <c r="AA782" s="670" t="s">
        <v>954</v>
      </c>
      <c r="AB782" s="639"/>
      <c r="AC782" s="639"/>
      <c r="AD782" s="639"/>
      <c r="AE782" s="639"/>
      <c r="AF782" s="637"/>
      <c r="AG782" s="642" t="s">
        <v>955</v>
      </c>
      <c r="AH782" s="639"/>
      <c r="AI782" s="639"/>
      <c r="AJ782" s="639"/>
      <c r="AK782" s="639"/>
      <c r="AL782" s="637"/>
      <c r="AM782" s="671" t="s">
        <v>956</v>
      </c>
      <c r="AN782" s="639"/>
      <c r="AO782" s="639"/>
      <c r="AP782" s="639"/>
      <c r="AQ782" s="639"/>
      <c r="AR782" s="637"/>
      <c r="AS782" s="672" t="s">
        <v>957</v>
      </c>
      <c r="AT782" s="639"/>
      <c r="AU782" s="639"/>
      <c r="AV782" s="639"/>
      <c r="AW782" s="639"/>
      <c r="AX782" s="637"/>
      <c r="AY782" s="673" t="s">
        <v>958</v>
      </c>
      <c r="AZ782" s="639"/>
      <c r="BA782" s="639"/>
      <c r="BB782" s="639"/>
      <c r="BC782" s="639"/>
      <c r="BD782" s="637"/>
      <c r="BE782" s="642" t="s">
        <v>959</v>
      </c>
      <c r="BF782" s="639"/>
      <c r="BG782" s="639"/>
      <c r="BH782" s="639"/>
      <c r="BI782" s="639"/>
      <c r="BJ782" s="637"/>
      <c r="BK782" s="642" t="s">
        <v>960</v>
      </c>
      <c r="BL782" s="639"/>
      <c r="BM782" s="639"/>
      <c r="BN782" s="639"/>
      <c r="BO782" s="639"/>
      <c r="BP782" s="637"/>
      <c r="BQ782" s="642" t="s">
        <v>961</v>
      </c>
      <c r="BR782" s="639"/>
      <c r="BS782" s="639"/>
      <c r="BT782" s="639"/>
      <c r="BU782" s="639"/>
      <c r="BV782" s="637"/>
      <c r="BW782" s="405"/>
      <c r="BX782" s="6"/>
      <c r="BY782" s="6"/>
      <c r="BZ782" s="6"/>
      <c r="CA782" s="6"/>
      <c r="CB782" s="6"/>
      <c r="CC782" s="6"/>
      <c r="CD782" s="6"/>
      <c r="CE782" s="6"/>
      <c r="CF782" s="6"/>
      <c r="CG782" s="6"/>
    </row>
    <row r="783" spans="1:85" ht="15.75" customHeight="1">
      <c r="A783" s="425" t="s">
        <v>962</v>
      </c>
      <c r="B783" s="426" t="s">
        <v>963</v>
      </c>
      <c r="C783" s="427" t="s">
        <v>964</v>
      </c>
      <c r="D783" s="428" t="s">
        <v>965</v>
      </c>
      <c r="E783" s="208">
        <f t="shared" ref="E783:H783" si="3956">E4+E16+E157+E271+E529</f>
        <v>4909157.17</v>
      </c>
      <c r="F783" s="208">
        <f t="shared" si="3956"/>
        <v>0</v>
      </c>
      <c r="G783" s="208">
        <f t="shared" si="3956"/>
        <v>4909157.17</v>
      </c>
      <c r="H783" s="208">
        <f t="shared" si="3956"/>
        <v>13172160.510000002</v>
      </c>
      <c r="I783" s="429" t="s">
        <v>34</v>
      </c>
      <c r="J783" s="429" t="s">
        <v>951</v>
      </c>
      <c r="K783" s="208"/>
      <c r="L783" s="430"/>
      <c r="M783" s="61"/>
      <c r="N783" s="208"/>
      <c r="O783" s="430"/>
      <c r="P783" s="430"/>
      <c r="Q783" s="430"/>
      <c r="R783" s="430"/>
      <c r="S783" s="430"/>
      <c r="T783" s="430"/>
      <c r="U783" s="208"/>
      <c r="V783" s="208"/>
      <c r="W783" s="208"/>
      <c r="X783" s="431"/>
      <c r="Y783" s="431"/>
      <c r="Z783" s="432"/>
      <c r="AA783" s="433" t="s">
        <v>7</v>
      </c>
      <c r="AB783" s="434" t="s">
        <v>8</v>
      </c>
      <c r="AC783" s="434" t="s">
        <v>9</v>
      </c>
      <c r="AD783" s="433" t="s">
        <v>10</v>
      </c>
      <c r="AE783" s="433" t="s">
        <v>11</v>
      </c>
      <c r="AF783" s="433" t="s">
        <v>12</v>
      </c>
      <c r="AG783" s="433" t="s">
        <v>7</v>
      </c>
      <c r="AH783" s="434" t="s">
        <v>8</v>
      </c>
      <c r="AI783" s="434" t="s">
        <v>9</v>
      </c>
      <c r="AJ783" s="433" t="s">
        <v>10</v>
      </c>
      <c r="AK783" s="433" t="s">
        <v>11</v>
      </c>
      <c r="AL783" s="433" t="s">
        <v>12</v>
      </c>
      <c r="AM783" s="433" t="s">
        <v>7</v>
      </c>
      <c r="AN783" s="434" t="s">
        <v>8</v>
      </c>
      <c r="AO783" s="434" t="s">
        <v>9</v>
      </c>
      <c r="AP783" s="433" t="s">
        <v>10</v>
      </c>
      <c r="AQ783" s="433" t="s">
        <v>11</v>
      </c>
      <c r="AR783" s="433" t="s">
        <v>12</v>
      </c>
      <c r="AS783" s="433" t="s">
        <v>7</v>
      </c>
      <c r="AT783" s="434" t="s">
        <v>8</v>
      </c>
      <c r="AU783" s="434" t="s">
        <v>9</v>
      </c>
      <c r="AV783" s="433" t="s">
        <v>10</v>
      </c>
      <c r="AW783" s="433" t="s">
        <v>11</v>
      </c>
      <c r="AX783" s="433" t="s">
        <v>12</v>
      </c>
      <c r="AY783" s="433" t="s">
        <v>7</v>
      </c>
      <c r="AZ783" s="434" t="s">
        <v>8</v>
      </c>
      <c r="BA783" s="434" t="s">
        <v>9</v>
      </c>
      <c r="BB783" s="433" t="s">
        <v>10</v>
      </c>
      <c r="BC783" s="433" t="s">
        <v>11</v>
      </c>
      <c r="BD783" s="433" t="s">
        <v>12</v>
      </c>
      <c r="BE783" s="433" t="s">
        <v>7</v>
      </c>
      <c r="BF783" s="434" t="s">
        <v>8</v>
      </c>
      <c r="BG783" s="434" t="s">
        <v>9</v>
      </c>
      <c r="BH783" s="433" t="s">
        <v>10</v>
      </c>
      <c r="BI783" s="433" t="s">
        <v>11</v>
      </c>
      <c r="BJ783" s="433" t="s">
        <v>12</v>
      </c>
      <c r="BK783" s="433" t="s">
        <v>7</v>
      </c>
      <c r="BL783" s="434" t="s">
        <v>8</v>
      </c>
      <c r="BM783" s="434" t="s">
        <v>9</v>
      </c>
      <c r="BN783" s="433" t="s">
        <v>10</v>
      </c>
      <c r="BO783" s="433" t="s">
        <v>11</v>
      </c>
      <c r="BP783" s="433" t="s">
        <v>12</v>
      </c>
      <c r="BQ783" s="433" t="s">
        <v>7</v>
      </c>
      <c r="BR783" s="434" t="s">
        <v>8</v>
      </c>
      <c r="BS783" s="434" t="s">
        <v>9</v>
      </c>
      <c r="BT783" s="433" t="s">
        <v>10</v>
      </c>
      <c r="BU783" s="433" t="s">
        <v>11</v>
      </c>
      <c r="BV783" s="433" t="s">
        <v>12</v>
      </c>
      <c r="BW783" s="405"/>
      <c r="BX783" s="6"/>
      <c r="BY783" s="6"/>
      <c r="BZ783" s="6"/>
      <c r="CA783" s="6"/>
      <c r="CB783" s="6"/>
      <c r="CC783" s="6"/>
      <c r="CD783" s="6"/>
      <c r="CE783" s="6"/>
      <c r="CF783" s="6"/>
      <c r="CG783" s="6"/>
    </row>
    <row r="784" spans="1:85" ht="15.75" customHeight="1">
      <c r="A784" s="435">
        <v>170802</v>
      </c>
      <c r="B784" s="436">
        <f>22183.01+290728.34+2278.6</f>
        <v>315189.95</v>
      </c>
      <c r="C784" s="437">
        <f t="shared" ref="C784:C786" si="3957">B784-Q789</f>
        <v>7.5669959187507629E-10</v>
      </c>
      <c r="D784" s="428" t="s">
        <v>966</v>
      </c>
      <c r="E784" s="208"/>
      <c r="F784" s="208"/>
      <c r="G784" s="208">
        <f>SUM(AA784:AF784)+SUM(AA786:AF786)+AG798</f>
        <v>4748487.9800000004</v>
      </c>
      <c r="H784" s="208">
        <f>SUM(AG784:BV784)+SUM(AG786:BV786)</f>
        <v>3259608.75</v>
      </c>
      <c r="I784" s="26">
        <f t="shared" ref="I784:J784" si="3958">G784/G783</f>
        <v>0.96727153268144406</v>
      </c>
      <c r="J784" s="26">
        <f t="shared" si="3958"/>
        <v>0.24746196704218568</v>
      </c>
      <c r="K784" s="208"/>
      <c r="L784" s="430"/>
      <c r="M784" s="61"/>
      <c r="N784" s="208"/>
      <c r="O784" s="430"/>
      <c r="P784" s="430"/>
      <c r="Q784" s="430"/>
      <c r="R784" s="430"/>
      <c r="S784" s="430"/>
      <c r="T784" s="430"/>
      <c r="U784" s="208"/>
      <c r="V784" s="208"/>
      <c r="W784" s="208"/>
      <c r="X784" s="431"/>
      <c r="Y784" s="431"/>
      <c r="Z784" s="431"/>
      <c r="AA784" s="200">
        <f>334436+13700+323399</f>
        <v>671535</v>
      </c>
      <c r="AB784" s="200">
        <f>13000</f>
        <v>13000</v>
      </c>
      <c r="AC784" s="200">
        <f>10000+300399+4800</f>
        <v>315199</v>
      </c>
      <c r="AD784" s="200">
        <f>323399+30000</f>
        <v>353399</v>
      </c>
      <c r="AE784" s="200">
        <f>4261.2+1129951+100000</f>
        <v>1234212.2</v>
      </c>
      <c r="AF784" s="86">
        <f>585.5+902.7+15972+368248+1028367</f>
        <v>1414075.2</v>
      </c>
      <c r="AG784" s="86">
        <f>268981</f>
        <v>268981</v>
      </c>
      <c r="AH784" s="86"/>
      <c r="AI784" s="87">
        <v>134491</v>
      </c>
      <c r="AJ784" s="86">
        <f>134490.55</f>
        <v>134490.54999999999</v>
      </c>
      <c r="AK784" s="86">
        <f>645554+538553</f>
        <v>1184107</v>
      </c>
      <c r="AL784" s="86">
        <f>163023-2000</f>
        <v>161023</v>
      </c>
      <c r="AM784" s="86"/>
      <c r="AN784" s="86"/>
      <c r="AO784" s="86">
        <f>203322+8832+212</f>
        <v>212366</v>
      </c>
      <c r="AP784" s="86"/>
      <c r="AQ784" s="87">
        <v>53827.199999999997</v>
      </c>
      <c r="AR784" s="86"/>
      <c r="AS784" s="86"/>
      <c r="AT784" s="86">
        <f>104277+0.02</f>
        <v>104277.02</v>
      </c>
      <c r="AU784" s="86">
        <f>79800-79800</f>
        <v>0</v>
      </c>
      <c r="AV784" s="86"/>
      <c r="AW784" s="87">
        <v>1349</v>
      </c>
      <c r="AX784" s="87">
        <f>104277-104277.02</f>
        <v>-2.0000000004074536E-2</v>
      </c>
      <c r="AY784" s="86">
        <f>46202</f>
        <v>46202</v>
      </c>
      <c r="AZ784" s="86"/>
      <c r="BA784" s="86">
        <f>44800</f>
        <v>44800</v>
      </c>
      <c r="BB784" s="86"/>
      <c r="BC784" s="87">
        <v>1402</v>
      </c>
      <c r="BD784" s="86"/>
      <c r="BE784" s="86">
        <f>146524</f>
        <v>146524</v>
      </c>
      <c r="BF784" s="86"/>
      <c r="BG784" s="87">
        <v>73262</v>
      </c>
      <c r="BH784" s="86">
        <f>146524</f>
        <v>146524</v>
      </c>
      <c r="BI784" s="87">
        <f>358983</f>
        <v>358983</v>
      </c>
      <c r="BJ784" s="86"/>
      <c r="BK784" s="86"/>
      <c r="BL784" s="86"/>
      <c r="BM784" s="87"/>
      <c r="BN784" s="86"/>
      <c r="BO784" s="87">
        <v>7000</v>
      </c>
      <c r="BP784" s="86"/>
      <c r="BQ784" s="86"/>
      <c r="BR784" s="86"/>
      <c r="BS784" s="87"/>
      <c r="BT784" s="86"/>
      <c r="BU784" s="87">
        <v>180000</v>
      </c>
      <c r="BV784" s="86"/>
      <c r="BW784" s="405"/>
      <c r="BX784" s="6"/>
      <c r="BY784" s="6"/>
      <c r="BZ784" s="6"/>
      <c r="CA784" s="6"/>
      <c r="CB784" s="6"/>
      <c r="CC784" s="6"/>
      <c r="CD784" s="6"/>
      <c r="CE784" s="6"/>
      <c r="CF784" s="6"/>
      <c r="CG784" s="6"/>
    </row>
    <row r="785" spans="1:85" ht="15.75" customHeight="1">
      <c r="A785" s="435">
        <v>170803</v>
      </c>
      <c r="B785" s="436">
        <v>161023</v>
      </c>
      <c r="C785" s="437">
        <f t="shared" si="3957"/>
        <v>0</v>
      </c>
      <c r="D785" s="428" t="s">
        <v>967</v>
      </c>
      <c r="E785" s="208"/>
      <c r="F785" s="208"/>
      <c r="G785" s="208">
        <f>K785</f>
        <v>4433298.0300000012</v>
      </c>
      <c r="H785" s="208">
        <f>N785</f>
        <v>2648059.15</v>
      </c>
      <c r="I785" s="26">
        <f t="shared" ref="I785:J785" si="3959">G785/G784</f>
        <v>0.93362309195526294</v>
      </c>
      <c r="J785" s="26">
        <f t="shared" si="3959"/>
        <v>0.81238558155177365</v>
      </c>
      <c r="K785" s="208">
        <f t="shared" ref="K785:N785" si="3960">K4+K16+K157+K271+K529+K762+K773</f>
        <v>4433298.0300000012</v>
      </c>
      <c r="L785" s="430">
        <f t="shared" si="3960"/>
        <v>1710512.2999999998</v>
      </c>
      <c r="M785" s="61">
        <f t="shared" si="3960"/>
        <v>0</v>
      </c>
      <c r="N785" s="208">
        <f t="shared" si="3960"/>
        <v>2648059.15</v>
      </c>
      <c r="O785" s="430"/>
      <c r="P785" s="430"/>
      <c r="Q785" s="430"/>
      <c r="R785" s="430"/>
      <c r="S785" s="430"/>
      <c r="T785" s="430"/>
      <c r="U785" s="208"/>
      <c r="V785" s="208"/>
      <c r="W785" s="208"/>
      <c r="X785" s="431"/>
      <c r="Y785" s="431"/>
      <c r="Z785" s="431"/>
      <c r="AA785" s="438" t="s">
        <v>13</v>
      </c>
      <c r="AB785" s="438" t="s">
        <v>14</v>
      </c>
      <c r="AC785" s="438" t="s">
        <v>15</v>
      </c>
      <c r="AD785" s="438" t="s">
        <v>16</v>
      </c>
      <c r="AE785" s="438" t="s">
        <v>17</v>
      </c>
      <c r="AF785" s="438" t="s">
        <v>18</v>
      </c>
      <c r="AG785" s="438" t="s">
        <v>13</v>
      </c>
      <c r="AH785" s="438" t="s">
        <v>14</v>
      </c>
      <c r="AI785" s="438" t="s">
        <v>15</v>
      </c>
      <c r="AJ785" s="438" t="s">
        <v>16</v>
      </c>
      <c r="AK785" s="438" t="s">
        <v>17</v>
      </c>
      <c r="AL785" s="438" t="s">
        <v>18</v>
      </c>
      <c r="AM785" s="438" t="s">
        <v>13</v>
      </c>
      <c r="AN785" s="438" t="s">
        <v>14</v>
      </c>
      <c r="AO785" s="438" t="s">
        <v>15</v>
      </c>
      <c r="AP785" s="438" t="s">
        <v>16</v>
      </c>
      <c r="AQ785" s="438" t="s">
        <v>17</v>
      </c>
      <c r="AR785" s="438" t="s">
        <v>18</v>
      </c>
      <c r="AS785" s="438" t="s">
        <v>13</v>
      </c>
      <c r="AT785" s="438" t="s">
        <v>14</v>
      </c>
      <c r="AU785" s="438" t="s">
        <v>15</v>
      </c>
      <c r="AV785" s="438" t="s">
        <v>16</v>
      </c>
      <c r="AW785" s="438" t="s">
        <v>17</v>
      </c>
      <c r="AX785" s="438" t="s">
        <v>18</v>
      </c>
      <c r="AY785" s="438" t="s">
        <v>13</v>
      </c>
      <c r="AZ785" s="438" t="s">
        <v>14</v>
      </c>
      <c r="BA785" s="438" t="s">
        <v>15</v>
      </c>
      <c r="BB785" s="438" t="s">
        <v>16</v>
      </c>
      <c r="BC785" s="438" t="s">
        <v>17</v>
      </c>
      <c r="BD785" s="438" t="s">
        <v>18</v>
      </c>
      <c r="BE785" s="438" t="s">
        <v>13</v>
      </c>
      <c r="BF785" s="438" t="s">
        <v>14</v>
      </c>
      <c r="BG785" s="438" t="s">
        <v>15</v>
      </c>
      <c r="BH785" s="438" t="s">
        <v>16</v>
      </c>
      <c r="BI785" s="438" t="s">
        <v>17</v>
      </c>
      <c r="BJ785" s="438" t="s">
        <v>18</v>
      </c>
      <c r="BK785" s="438" t="s">
        <v>13</v>
      </c>
      <c r="BL785" s="438" t="s">
        <v>14</v>
      </c>
      <c r="BM785" s="438" t="s">
        <v>15</v>
      </c>
      <c r="BN785" s="438" t="s">
        <v>16</v>
      </c>
      <c r="BO785" s="438" t="s">
        <v>17</v>
      </c>
      <c r="BP785" s="438" t="s">
        <v>18</v>
      </c>
      <c r="BQ785" s="438" t="s">
        <v>13</v>
      </c>
      <c r="BR785" s="438" t="s">
        <v>14</v>
      </c>
      <c r="BS785" s="438" t="s">
        <v>15</v>
      </c>
      <c r="BT785" s="438" t="s">
        <v>16</v>
      </c>
      <c r="BU785" s="438" t="s">
        <v>17</v>
      </c>
      <c r="BV785" s="438" t="s">
        <v>18</v>
      </c>
      <c r="BW785" s="405"/>
      <c r="BX785" s="6"/>
      <c r="BY785" s="6"/>
      <c r="BZ785" s="6"/>
      <c r="CA785" s="6"/>
      <c r="CB785" s="6"/>
      <c r="CC785" s="6"/>
      <c r="CD785" s="6"/>
      <c r="CE785" s="6"/>
      <c r="CF785" s="6"/>
      <c r="CG785" s="6"/>
    </row>
    <row r="786" spans="1:85" ht="15.75" customHeight="1">
      <c r="A786" s="435">
        <v>170804</v>
      </c>
      <c r="B786" s="436">
        <v>0</v>
      </c>
      <c r="C786" s="437">
        <f t="shared" si="3957"/>
        <v>0</v>
      </c>
      <c r="D786" s="428" t="s">
        <v>968</v>
      </c>
      <c r="E786" s="208"/>
      <c r="F786" s="208"/>
      <c r="G786" s="208">
        <f>O786</f>
        <v>1655538.29</v>
      </c>
      <c r="H786" s="208">
        <f>Q786</f>
        <v>971285.39999999991</v>
      </c>
      <c r="I786" s="26">
        <f t="shared" ref="I786:J786" si="3961">G786/G784</f>
        <v>0.34864535763234678</v>
      </c>
      <c r="J786" s="26">
        <f t="shared" si="3961"/>
        <v>0.29797606844686497</v>
      </c>
      <c r="K786" s="439"/>
      <c r="L786" s="440"/>
      <c r="M786" s="441"/>
      <c r="N786" s="439"/>
      <c r="O786" s="430">
        <f>O4+O16+O157+O271+O529+O762</f>
        <v>1655538.29</v>
      </c>
      <c r="P786" s="430">
        <f t="shared" ref="P786:Q786" si="3962">P4+P16+P157+P271+P529</f>
        <v>1382597.13</v>
      </c>
      <c r="Q786" s="430">
        <f t="shared" si="3962"/>
        <v>971285.39999999991</v>
      </c>
      <c r="R786" s="430"/>
      <c r="S786" s="430"/>
      <c r="T786" s="430"/>
      <c r="U786" s="208"/>
      <c r="V786" s="208"/>
      <c r="W786" s="208"/>
      <c r="X786" s="431"/>
      <c r="Y786" s="431"/>
      <c r="Z786" s="431"/>
      <c r="AA786" s="86"/>
      <c r="AB786" s="86"/>
      <c r="AC786" s="86"/>
      <c r="AD786" s="86"/>
      <c r="AE786" s="86"/>
      <c r="AF786" s="86"/>
      <c r="AG786" s="86"/>
      <c r="AH786" s="86"/>
      <c r="AI786" s="86"/>
      <c r="AJ786" s="86"/>
      <c r="AK786" s="86"/>
      <c r="AL786" s="86"/>
      <c r="AM786" s="86"/>
      <c r="AN786" s="86"/>
      <c r="AO786" s="86"/>
      <c r="AP786" s="86"/>
      <c r="AQ786" s="86"/>
      <c r="AR786" s="86"/>
      <c r="AS786" s="86"/>
      <c r="AT786" s="86"/>
      <c r="AU786" s="86"/>
      <c r="AV786" s="86"/>
      <c r="AW786" s="86"/>
      <c r="AX786" s="86"/>
      <c r="AY786" s="86"/>
      <c r="AZ786" s="86"/>
      <c r="BA786" s="86"/>
      <c r="BB786" s="86"/>
      <c r="BC786" s="86"/>
      <c r="BD786" s="86"/>
      <c r="BE786" s="86"/>
      <c r="BF786" s="86"/>
      <c r="BG786" s="86"/>
      <c r="BH786" s="86"/>
      <c r="BI786" s="86"/>
      <c r="BJ786" s="86"/>
      <c r="BK786" s="86"/>
      <c r="BL786" s="86"/>
      <c r="BM786" s="86"/>
      <c r="BN786" s="86"/>
      <c r="BO786" s="86"/>
      <c r="BP786" s="86"/>
      <c r="BQ786" s="86"/>
      <c r="BR786" s="86"/>
      <c r="BS786" s="86"/>
      <c r="BT786" s="86"/>
      <c r="BU786" s="86"/>
      <c r="BV786" s="86"/>
      <c r="BW786" s="405"/>
      <c r="BX786" s="6"/>
      <c r="BY786" s="6"/>
      <c r="BZ786" s="6"/>
      <c r="CA786" s="6"/>
      <c r="CB786" s="6"/>
      <c r="CC786" s="6"/>
      <c r="CD786" s="6"/>
      <c r="CE786" s="6"/>
      <c r="CF786" s="6"/>
      <c r="CG786" s="6"/>
    </row>
    <row r="787" spans="1:85" ht="15.75" customHeight="1">
      <c r="A787" s="435">
        <v>204273</v>
      </c>
      <c r="B787" s="436">
        <v>0</v>
      </c>
      <c r="C787" s="437">
        <f>B787-Q796</f>
        <v>0</v>
      </c>
      <c r="D787" s="428" t="s">
        <v>969</v>
      </c>
      <c r="E787" s="208"/>
      <c r="F787" s="208"/>
      <c r="G787" s="208">
        <f>R787</f>
        <v>1655538.29</v>
      </c>
      <c r="H787" s="208">
        <f>T787</f>
        <v>971285.39999999991</v>
      </c>
      <c r="I787" s="26">
        <f t="shared" ref="I787:J787" si="3963">G787/G784</f>
        <v>0.34864535763234678</v>
      </c>
      <c r="J787" s="26">
        <f t="shared" si="3963"/>
        <v>0.29797606844686497</v>
      </c>
      <c r="K787" s="439"/>
      <c r="L787" s="440"/>
      <c r="M787" s="441"/>
      <c r="N787" s="439"/>
      <c r="O787" s="440"/>
      <c r="P787" s="440"/>
      <c r="Q787" s="440"/>
      <c r="R787" s="430">
        <f>R4+R16+R157+R271+R529+R762</f>
        <v>1655538.29</v>
      </c>
      <c r="S787" s="430">
        <f t="shared" ref="S787:T787" si="3964">S4+S16+S157+S271+S529</f>
        <v>1382597.13</v>
      </c>
      <c r="T787" s="430">
        <f t="shared" si="3964"/>
        <v>971285.39999999991</v>
      </c>
      <c r="U787" s="208">
        <f>U4+U16+U157+U271+U529+U762</f>
        <v>2748087.7399999998</v>
      </c>
      <c r="V787" s="208">
        <f t="shared" ref="V787:W787" si="3965">V4+V16+V157+V271+V529</f>
        <v>327915.17000000004</v>
      </c>
      <c r="W787" s="208">
        <f t="shared" si="3965"/>
        <v>1676773.75</v>
      </c>
      <c r="X787" s="431"/>
      <c r="Y787" s="431"/>
      <c r="Z787" s="432"/>
      <c r="AA787" s="442"/>
      <c r="AB787" s="442"/>
      <c r="AC787" s="442"/>
      <c r="AD787" s="443"/>
      <c r="AE787" s="444"/>
      <c r="AF787" s="444"/>
      <c r="AG787" s="444"/>
      <c r="AH787" s="445"/>
      <c r="AI787" s="405"/>
      <c r="AJ787" s="405"/>
      <c r="AK787" s="405"/>
      <c r="AL787" s="405"/>
      <c r="AM787" s="405"/>
      <c r="AN787" s="405"/>
      <c r="AO787" s="405"/>
      <c r="AP787" s="405"/>
      <c r="AQ787" s="405"/>
      <c r="AR787" s="405"/>
      <c r="AS787" s="405"/>
      <c r="AT787" s="405"/>
      <c r="AU787" s="405"/>
      <c r="AV787" s="405"/>
      <c r="AW787" s="405"/>
      <c r="AX787" s="405"/>
      <c r="AY787" s="405"/>
      <c r="AZ787" s="405"/>
      <c r="BA787" s="405"/>
      <c r="BB787" s="405"/>
      <c r="BC787" s="405"/>
      <c r="BD787" s="405"/>
      <c r="BE787" s="405"/>
      <c r="BF787" s="405"/>
      <c r="BG787" s="405"/>
      <c r="BH787" s="405"/>
      <c r="BI787" s="405"/>
      <c r="BJ787" s="405"/>
      <c r="BK787" s="405"/>
      <c r="BL787" s="405"/>
      <c r="BM787" s="405"/>
      <c r="BN787" s="405"/>
      <c r="BO787" s="405"/>
      <c r="BP787" s="405"/>
      <c r="BQ787" s="405"/>
      <c r="BR787" s="405"/>
      <c r="BS787" s="405"/>
      <c r="BT787" s="405"/>
      <c r="BU787" s="405" t="str">
        <f t="shared" ref="BU787:BU795" si="3966">IF(BP787=0,"",BP787)</f>
        <v/>
      </c>
      <c r="BV787" s="405" t="str">
        <f t="shared" ref="BV787:BV795" si="3967">IF(BS787=0,"",BS787)</f>
        <v/>
      </c>
      <c r="BW787" s="405"/>
      <c r="BX787" s="6"/>
      <c r="BY787" s="6"/>
      <c r="BZ787" s="6"/>
      <c r="CA787" s="6"/>
      <c r="CB787" s="6"/>
      <c r="CC787" s="6"/>
      <c r="CD787" s="6"/>
      <c r="CE787" s="6"/>
      <c r="CF787" s="6"/>
      <c r="CG787" s="6"/>
    </row>
    <row r="788" spans="1:85" ht="15.75" customHeight="1">
      <c r="A788" s="435" t="s">
        <v>970</v>
      </c>
      <c r="B788" s="436">
        <f>4333.4</f>
        <v>4333.3999999999996</v>
      </c>
      <c r="C788" s="437">
        <f>B788-Q793</f>
        <v>0</v>
      </c>
      <c r="D788" s="446" t="s">
        <v>971</v>
      </c>
      <c r="E788" s="447"/>
      <c r="F788" s="447"/>
      <c r="G788" s="447">
        <f t="shared" ref="G788:H788" si="3968">G783-G784</f>
        <v>160669.18999999948</v>
      </c>
      <c r="H788" s="447">
        <f t="shared" si="3968"/>
        <v>9912551.7600000016</v>
      </c>
      <c r="I788" s="448">
        <f t="shared" ref="I788:J788" si="3969">G788/G783</f>
        <v>3.2728467318555922E-2</v>
      </c>
      <c r="J788" s="448">
        <f t="shared" si="3969"/>
        <v>0.7525380329578143</v>
      </c>
      <c r="K788" s="674" t="s">
        <v>972</v>
      </c>
      <c r="L788" s="639"/>
      <c r="M788" s="639"/>
      <c r="N788" s="637"/>
      <c r="O788" s="675" t="s">
        <v>973</v>
      </c>
      <c r="P788" s="637"/>
      <c r="Q788" s="449" t="s">
        <v>974</v>
      </c>
      <c r="R788" s="450" t="s">
        <v>975</v>
      </c>
      <c r="S788" s="451">
        <f>$BK$3+$BM$3</f>
        <v>0</v>
      </c>
      <c r="T788" s="450" t="s">
        <v>975</v>
      </c>
      <c r="U788" s="452">
        <f>U787+W787+U773+W773</f>
        <v>4425041.49</v>
      </c>
      <c r="V788" s="349">
        <v>308064.34999999998</v>
      </c>
      <c r="W788" s="453" t="s">
        <v>976</v>
      </c>
      <c r="X788" s="454"/>
      <c r="Y788" s="431"/>
      <c r="Z788" s="432"/>
      <c r="AA788" s="642" t="s">
        <v>977</v>
      </c>
      <c r="AB788" s="639"/>
      <c r="AC788" s="637"/>
      <c r="AD788" s="676" t="s">
        <v>978</v>
      </c>
      <c r="AE788" s="639"/>
      <c r="AF788" s="639"/>
      <c r="AG788" s="637"/>
      <c r="AH788" s="676" t="s">
        <v>979</v>
      </c>
      <c r="AI788" s="639"/>
      <c r="AJ788" s="639"/>
      <c r="AK788" s="637"/>
      <c r="AL788" s="676" t="s">
        <v>980</v>
      </c>
      <c r="AM788" s="639"/>
      <c r="AN788" s="639"/>
      <c r="AO788" s="637"/>
      <c r="AP788" s="405"/>
      <c r="AQ788" s="405"/>
      <c r="AR788" s="405"/>
      <c r="AS788" s="405"/>
      <c r="AT788" s="405"/>
      <c r="AU788" s="405"/>
      <c r="AV788" s="405"/>
      <c r="AW788" s="405"/>
      <c r="AX788" s="405"/>
      <c r="AY788" s="405"/>
      <c r="AZ788" s="405"/>
      <c r="BA788" s="405"/>
      <c r="BB788" s="405"/>
      <c r="BC788" s="405"/>
      <c r="BD788" s="405"/>
      <c r="BE788" s="405"/>
      <c r="BF788" s="405"/>
      <c r="BG788" s="405"/>
      <c r="BH788" s="405"/>
      <c r="BI788" s="405"/>
      <c r="BJ788" s="405"/>
      <c r="BK788" s="405"/>
      <c r="BL788" s="405"/>
      <c r="BM788" s="405"/>
      <c r="BN788" s="405"/>
      <c r="BO788" s="405"/>
      <c r="BP788" s="405"/>
      <c r="BQ788" s="405"/>
      <c r="BR788" s="405"/>
      <c r="BS788" s="405"/>
      <c r="BT788" s="405"/>
      <c r="BU788" s="405" t="str">
        <f t="shared" si="3966"/>
        <v/>
      </c>
      <c r="BV788" s="405" t="str">
        <f t="shared" si="3967"/>
        <v/>
      </c>
      <c r="BW788" s="405"/>
      <c r="BX788" s="6"/>
      <c r="BY788" s="6"/>
      <c r="BZ788" s="6"/>
      <c r="CA788" s="6"/>
      <c r="CB788" s="6"/>
      <c r="CC788" s="6"/>
      <c r="CD788" s="6"/>
      <c r="CE788" s="6"/>
      <c r="CF788" s="6"/>
      <c r="CG788" s="6"/>
    </row>
    <row r="789" spans="1:85" ht="15.75" customHeight="1">
      <c r="A789" s="435">
        <v>169949</v>
      </c>
      <c r="B789" s="455">
        <f>257149.2+212+8832</f>
        <v>266193.2</v>
      </c>
      <c r="C789" s="437">
        <f>B789-Q792</f>
        <v>0</v>
      </c>
      <c r="D789" s="446" t="s">
        <v>981</v>
      </c>
      <c r="E789" s="447"/>
      <c r="F789" s="447"/>
      <c r="G789" s="447">
        <f>G784-K785</f>
        <v>315189.94999999925</v>
      </c>
      <c r="H789" s="447">
        <f>H784-N785</f>
        <v>611549.60000000009</v>
      </c>
      <c r="I789" s="448">
        <f t="shared" ref="I789:J789" si="3970">G789/G784</f>
        <v>6.637690804473706E-2</v>
      </c>
      <c r="J789" s="448">
        <f t="shared" si="3970"/>
        <v>0.18761441844822638</v>
      </c>
      <c r="K789" s="456" t="s">
        <v>982</v>
      </c>
      <c r="L789" s="457" t="s">
        <v>983</v>
      </c>
      <c r="M789" s="458">
        <f>SUM(AA784:AF784)+SUM(AA786:AF786)+AG798</f>
        <v>4748487.9800000004</v>
      </c>
      <c r="N789" s="459">
        <f t="shared" ref="N789:N790" si="3971">M789*100/$M$797/100</f>
        <v>0.59296086699492212</v>
      </c>
      <c r="O789" s="66">
        <f>K3</f>
        <v>4433298.0300000012</v>
      </c>
      <c r="P789" s="21">
        <f t="shared" ref="P789:P790" si="3972">O789*100/$O$797/100</f>
        <v>0.62605202891347456</v>
      </c>
      <c r="Q789" s="25">
        <f t="shared" ref="Q789:Q796" si="3973">M789-O789</f>
        <v>315189.94999999925</v>
      </c>
      <c r="R789" s="450" t="s">
        <v>984</v>
      </c>
      <c r="S789" s="450">
        <f>B796</f>
        <v>2599684.56</v>
      </c>
      <c r="T789" s="450" t="s">
        <v>984</v>
      </c>
      <c r="U789" s="453">
        <f>B794+U762</f>
        <v>4425041.49</v>
      </c>
      <c r="V789" s="349">
        <v>19850.82</v>
      </c>
      <c r="W789" s="453" t="s">
        <v>985</v>
      </c>
      <c r="X789" s="454"/>
      <c r="Y789" s="431"/>
      <c r="Z789" s="432"/>
      <c r="AA789" s="643" t="s">
        <v>986</v>
      </c>
      <c r="AB789" s="637"/>
      <c r="AC789" s="460" t="s">
        <v>987</v>
      </c>
      <c r="AD789" s="677" t="s">
        <v>988</v>
      </c>
      <c r="AE789" s="639"/>
      <c r="AF789" s="637"/>
      <c r="AG789" s="462" t="s">
        <v>987</v>
      </c>
      <c r="AH789" s="461" t="s">
        <v>989</v>
      </c>
      <c r="AI789" s="462" t="s">
        <v>986</v>
      </c>
      <c r="AJ789" s="462" t="s">
        <v>990</v>
      </c>
      <c r="AK789" s="462" t="s">
        <v>987</v>
      </c>
      <c r="AL789" s="461" t="s">
        <v>989</v>
      </c>
      <c r="AM789" s="462" t="s">
        <v>986</v>
      </c>
      <c r="AN789" s="462" t="s">
        <v>990</v>
      </c>
      <c r="AO789" s="462" t="s">
        <v>987</v>
      </c>
      <c r="AP789" s="405"/>
      <c r="AQ789" s="405"/>
      <c r="AR789" s="405"/>
      <c r="AS789" s="405"/>
      <c r="AT789" s="405"/>
      <c r="AU789" s="405"/>
      <c r="AV789" s="405"/>
      <c r="AW789" s="405"/>
      <c r="AX789" s="405"/>
      <c r="AY789" s="405"/>
      <c r="AZ789" s="405"/>
      <c r="BA789" s="405"/>
      <c r="BB789" s="405"/>
      <c r="BC789" s="405"/>
      <c r="BD789" s="405"/>
      <c r="BE789" s="405"/>
      <c r="BF789" s="405"/>
      <c r="BG789" s="405"/>
      <c r="BH789" s="405"/>
      <c r="BI789" s="405"/>
      <c r="BJ789" s="405"/>
      <c r="BK789" s="405"/>
      <c r="BL789" s="405"/>
      <c r="BM789" s="405"/>
      <c r="BN789" s="405"/>
      <c r="BO789" s="405"/>
      <c r="BP789" s="405"/>
      <c r="BQ789" s="405"/>
      <c r="BR789" s="405"/>
      <c r="BS789" s="405"/>
      <c r="BT789" s="405"/>
      <c r="BU789" s="405" t="str">
        <f t="shared" si="3966"/>
        <v/>
      </c>
      <c r="BV789" s="405" t="str">
        <f t="shared" si="3967"/>
        <v/>
      </c>
      <c r="BW789" s="405"/>
      <c r="BX789" s="6"/>
      <c r="BY789" s="6"/>
      <c r="BZ789" s="6"/>
      <c r="CA789" s="6"/>
      <c r="CB789" s="6"/>
      <c r="CC789" s="6"/>
      <c r="CD789" s="6"/>
      <c r="CE789" s="6"/>
      <c r="CF789" s="6"/>
      <c r="CG789" s="6"/>
    </row>
    <row r="790" spans="1:85" ht="15.75" customHeight="1">
      <c r="A790" s="463" t="s">
        <v>991</v>
      </c>
      <c r="B790" s="436">
        <v>180000</v>
      </c>
      <c r="C790" s="437">
        <f>B790-Q794</f>
        <v>0</v>
      </c>
      <c r="D790" s="446" t="s">
        <v>992</v>
      </c>
      <c r="E790" s="447"/>
      <c r="F790" s="447"/>
      <c r="G790" s="447">
        <f>K785-O786</f>
        <v>2777759.7400000012</v>
      </c>
      <c r="H790" s="447">
        <f>N785-Q786</f>
        <v>1676773.75</v>
      </c>
      <c r="I790" s="448">
        <f>G790/K785</f>
        <v>0.62656733682305599</v>
      </c>
      <c r="J790" s="448">
        <f>H790/N785</f>
        <v>0.63320857088860727</v>
      </c>
      <c r="K790" s="456" t="s">
        <v>993</v>
      </c>
      <c r="L790" s="457" t="s">
        <v>994</v>
      </c>
      <c r="M790" s="464">
        <f>SUM(AG784:AL784)+SUM(AG786:AL786)</f>
        <v>1883092.55</v>
      </c>
      <c r="N790" s="459">
        <f t="shared" si="3971"/>
        <v>0.23514857693283631</v>
      </c>
      <c r="O790" s="66">
        <f>N420</f>
        <v>1722069.55</v>
      </c>
      <c r="P790" s="21">
        <f t="shared" si="3972"/>
        <v>0.24318354606708312</v>
      </c>
      <c r="Q790" s="25">
        <f t="shared" si="3973"/>
        <v>161023</v>
      </c>
      <c r="R790" s="450" t="s">
        <v>995</v>
      </c>
      <c r="S790" s="451">
        <f>S788-S789</f>
        <v>-2599684.56</v>
      </c>
      <c r="T790" s="450" t="s">
        <v>995</v>
      </c>
      <c r="U790" s="452">
        <f>U788-U789</f>
        <v>0</v>
      </c>
      <c r="V790" s="452">
        <f>V787-V788-V789</f>
        <v>6.5483618527650833E-11</v>
      </c>
      <c r="W790" s="452"/>
      <c r="X790" s="454"/>
      <c r="Y790" s="431"/>
      <c r="Z790" s="432"/>
      <c r="AA790" s="636" t="s">
        <v>996</v>
      </c>
      <c r="AB790" s="637"/>
      <c r="AC790" s="465">
        <f t="shared" ref="AC790:AC793" si="3974">K763</f>
        <v>0</v>
      </c>
      <c r="AD790" s="465"/>
      <c r="AE790" s="466"/>
      <c r="AF790" s="466"/>
      <c r="AG790" s="467">
        <v>0</v>
      </c>
      <c r="AH790" s="468"/>
      <c r="AI790" s="468"/>
      <c r="AJ790" s="469"/>
      <c r="AK790" s="470">
        <v>0</v>
      </c>
      <c r="AL790" s="471"/>
      <c r="AM790" s="471"/>
      <c r="AN790" s="471"/>
      <c r="AO790" s="470">
        <v>0</v>
      </c>
      <c r="AP790" s="405"/>
      <c r="AQ790" s="405"/>
      <c r="AR790" s="405"/>
      <c r="AS790" s="405"/>
      <c r="AT790" s="405"/>
      <c r="AU790" s="405"/>
      <c r="AV790" s="405"/>
      <c r="AW790" s="405"/>
      <c r="AX790" s="405"/>
      <c r="AY790" s="405"/>
      <c r="AZ790" s="405"/>
      <c r="BA790" s="405"/>
      <c r="BB790" s="405"/>
      <c r="BC790" s="405"/>
      <c r="BD790" s="405"/>
      <c r="BE790" s="405"/>
      <c r="BF790" s="405"/>
      <c r="BG790" s="405"/>
      <c r="BH790" s="405"/>
      <c r="BI790" s="405"/>
      <c r="BJ790" s="405"/>
      <c r="BK790" s="405"/>
      <c r="BL790" s="405"/>
      <c r="BM790" s="405"/>
      <c r="BN790" s="405"/>
      <c r="BO790" s="405"/>
      <c r="BP790" s="405"/>
      <c r="BQ790" s="405"/>
      <c r="BR790" s="405"/>
      <c r="BS790" s="405"/>
      <c r="BT790" s="405"/>
      <c r="BU790" s="405" t="str">
        <f t="shared" si="3966"/>
        <v/>
      </c>
      <c r="BV790" s="405" t="str">
        <f t="shared" si="3967"/>
        <v/>
      </c>
      <c r="BW790" s="405"/>
      <c r="BX790" s="6"/>
      <c r="BY790" s="6"/>
      <c r="BZ790" s="6"/>
      <c r="CA790" s="6"/>
      <c r="CB790" s="6"/>
      <c r="CC790" s="6"/>
      <c r="CD790" s="6"/>
      <c r="CE790" s="6"/>
      <c r="CF790" s="6"/>
      <c r="CG790" s="6"/>
    </row>
    <row r="791" spans="1:85" ht="15.75" customHeight="1">
      <c r="A791" s="472"/>
      <c r="B791" s="436">
        <v>0</v>
      </c>
      <c r="C791" s="437"/>
      <c r="D791" s="446" t="s">
        <v>997</v>
      </c>
      <c r="E791" s="447"/>
      <c r="F791" s="447"/>
      <c r="G791" s="447">
        <f t="shared" ref="G791:H791" si="3975">BN3</f>
        <v>1684301.15</v>
      </c>
      <c r="H791" s="447">
        <f t="shared" si="3975"/>
        <v>962244.11</v>
      </c>
      <c r="I791" s="448">
        <f>G791/O786</f>
        <v>1.0173737207854008</v>
      </c>
      <c r="J791" s="448">
        <f>H791/Q786</f>
        <v>0.99069141778513303</v>
      </c>
      <c r="K791" s="456" t="s">
        <v>998</v>
      </c>
      <c r="L791" s="457" t="s">
        <v>999</v>
      </c>
      <c r="M791" s="473">
        <f>SUM(BE784:BJ784)+SUM(BE786:BJ786)</f>
        <v>725293</v>
      </c>
      <c r="N791" s="459">
        <f t="shared" ref="N791:N797" si="3976">M791*100/$M$797/100</f>
        <v>9.0569959936035879E-2</v>
      </c>
      <c r="O791" s="66">
        <f>N406</f>
        <v>725293</v>
      </c>
      <c r="P791" s="21">
        <f t="shared" ref="P791:P797" si="3977">O791*100/$O$797/100</f>
        <v>0.1024228804682325</v>
      </c>
      <c r="Q791" s="25">
        <f t="shared" si="3973"/>
        <v>0</v>
      </c>
      <c r="R791" s="474"/>
      <c r="S791" s="475"/>
      <c r="T791" s="475"/>
      <c r="U791" s="644"/>
      <c r="V791" s="645"/>
      <c r="W791" s="646"/>
      <c r="X791" s="431"/>
      <c r="Y791" s="431"/>
      <c r="Z791" s="432"/>
      <c r="AA791" s="636" t="s">
        <v>1000</v>
      </c>
      <c r="AB791" s="637"/>
      <c r="AC791" s="465">
        <f t="shared" si="3974"/>
        <v>38808</v>
      </c>
      <c r="AD791" s="465"/>
      <c r="AE791" s="466"/>
      <c r="AF791" s="466"/>
      <c r="AG791" s="467">
        <v>0</v>
      </c>
      <c r="AH791" s="471"/>
      <c r="AI791" s="469"/>
      <c r="AJ791" s="469"/>
      <c r="AK791" s="470">
        <v>0</v>
      </c>
      <c r="AL791" s="471"/>
      <c r="AM791" s="469"/>
      <c r="AN791" s="469"/>
      <c r="AO791" s="470">
        <v>0</v>
      </c>
      <c r="AP791" s="405"/>
      <c r="AQ791" s="405"/>
      <c r="AR791" s="405"/>
      <c r="AS791" s="405"/>
      <c r="AT791" s="405"/>
      <c r="AU791" s="405"/>
      <c r="AV791" s="405"/>
      <c r="AW791" s="405"/>
      <c r="AX791" s="405"/>
      <c r="AY791" s="405"/>
      <c r="AZ791" s="405"/>
      <c r="BA791" s="405"/>
      <c r="BB791" s="405"/>
      <c r="BC791" s="405"/>
      <c r="BD791" s="405"/>
      <c r="BE791" s="405"/>
      <c r="BF791" s="405"/>
      <c r="BG791" s="405"/>
      <c r="BH791" s="405"/>
      <c r="BI791" s="405"/>
      <c r="BJ791" s="405"/>
      <c r="BK791" s="405"/>
      <c r="BL791" s="405"/>
      <c r="BM791" s="405"/>
      <c r="BN791" s="405"/>
      <c r="BO791" s="405"/>
      <c r="BP791" s="405"/>
      <c r="BQ791" s="405"/>
      <c r="BR791" s="405"/>
      <c r="BS791" s="405"/>
      <c r="BT791" s="405"/>
      <c r="BU791" s="405" t="str">
        <f t="shared" si="3966"/>
        <v/>
      </c>
      <c r="BV791" s="405" t="str">
        <f t="shared" si="3967"/>
        <v/>
      </c>
      <c r="BW791" s="405"/>
      <c r="BX791" s="6"/>
      <c r="BY791" s="6"/>
      <c r="BZ791" s="6"/>
      <c r="CA791" s="6"/>
      <c r="CB791" s="6"/>
      <c r="CC791" s="6"/>
      <c r="CD791" s="6"/>
      <c r="CE791" s="6"/>
      <c r="CF791" s="6"/>
      <c r="CG791" s="6"/>
    </row>
    <row r="792" spans="1:85" ht="15.75" customHeight="1">
      <c r="A792" s="476" t="s">
        <v>1001</v>
      </c>
      <c r="B792" s="477">
        <f>SUM(B784:B791)</f>
        <v>926739.55</v>
      </c>
      <c r="C792" s="478">
        <f>B792-(H789+G789)</f>
        <v>0</v>
      </c>
      <c r="D792" s="479" t="s">
        <v>1002</v>
      </c>
      <c r="E792" s="480"/>
      <c r="F792" s="480"/>
      <c r="G792" s="480">
        <f>L785-P786-M785</f>
        <v>327915.16999999993</v>
      </c>
      <c r="H792" s="480"/>
      <c r="I792" s="481">
        <f>G792/L785</f>
        <v>0.19170582403879818</v>
      </c>
      <c r="J792" s="479"/>
      <c r="K792" s="482" t="s">
        <v>629</v>
      </c>
      <c r="L792" s="457" t="s">
        <v>1003</v>
      </c>
      <c r="M792" s="464">
        <f>SUM(AM784:AR784)+SUM(AM786:AR786)</f>
        <v>266193.2</v>
      </c>
      <c r="N792" s="459">
        <f t="shared" si="3976"/>
        <v>3.3240507573139663E-2</v>
      </c>
      <c r="O792" s="66">
        <f>N489</f>
        <v>0</v>
      </c>
      <c r="P792" s="21">
        <f t="shared" si="3977"/>
        <v>0</v>
      </c>
      <c r="Q792" s="25">
        <f t="shared" si="3973"/>
        <v>266193.2</v>
      </c>
      <c r="R792" s="405"/>
      <c r="S792" s="405"/>
      <c r="T792" s="405"/>
      <c r="U792" s="647"/>
      <c r="V792" s="645"/>
      <c r="W792" s="646"/>
      <c r="X792" s="483"/>
      <c r="Y792" s="483"/>
      <c r="Z792" s="483"/>
      <c r="AA792" s="636" t="s">
        <v>932</v>
      </c>
      <c r="AB792" s="637"/>
      <c r="AC792" s="465">
        <f t="shared" si="3974"/>
        <v>10846</v>
      </c>
      <c r="AD792" s="237"/>
      <c r="AE792" s="466"/>
      <c r="AF792" s="466"/>
      <c r="AG792" s="467"/>
      <c r="AH792" s="484"/>
      <c r="AI792" s="469"/>
      <c r="AJ792" s="469"/>
      <c r="AK792" s="470"/>
      <c r="AL792" s="484"/>
      <c r="AM792" s="469"/>
      <c r="AN792" s="469"/>
      <c r="AO792" s="470"/>
      <c r="AP792" s="405"/>
      <c r="AQ792" s="405"/>
      <c r="AR792" s="405"/>
      <c r="AS792" s="405"/>
      <c r="AT792" s="405"/>
      <c r="AU792" s="405"/>
      <c r="AV792" s="405"/>
      <c r="AW792" s="405"/>
      <c r="AX792" s="405"/>
      <c r="AY792" s="405"/>
      <c r="AZ792" s="405"/>
      <c r="BA792" s="405"/>
      <c r="BB792" s="405"/>
      <c r="BC792" s="405"/>
      <c r="BD792" s="405"/>
      <c r="BE792" s="405"/>
      <c r="BF792" s="405"/>
      <c r="BG792" s="405"/>
      <c r="BH792" s="405"/>
      <c r="BI792" s="405"/>
      <c r="BJ792" s="405"/>
      <c r="BK792" s="405"/>
      <c r="BL792" s="405"/>
      <c r="BM792" s="405"/>
      <c r="BN792" s="405"/>
      <c r="BO792" s="405"/>
      <c r="BP792" s="405"/>
      <c r="BQ792" s="405"/>
      <c r="BR792" s="405"/>
      <c r="BS792" s="405"/>
      <c r="BT792" s="405"/>
      <c r="BU792" s="405" t="str">
        <f t="shared" si="3966"/>
        <v/>
      </c>
      <c r="BV792" s="405" t="str">
        <f t="shared" si="3967"/>
        <v/>
      </c>
      <c r="BW792" s="405"/>
      <c r="BX792" s="6"/>
      <c r="BY792" s="6"/>
      <c r="BZ792" s="6"/>
      <c r="CA792" s="6"/>
      <c r="CB792" s="6"/>
      <c r="CC792" s="6"/>
      <c r="CD792" s="6"/>
      <c r="CE792" s="6"/>
      <c r="CF792" s="6"/>
      <c r="CG792" s="6"/>
    </row>
    <row r="793" spans="1:85" ht="15.75" customHeight="1">
      <c r="A793" s="485"/>
      <c r="B793" s="477"/>
      <c r="C793" s="486"/>
      <c r="D793" s="479" t="s">
        <v>1004</v>
      </c>
      <c r="E793" s="480"/>
      <c r="F793" s="480"/>
      <c r="G793" s="480">
        <f>P786</f>
        <v>1382597.13</v>
      </c>
      <c r="H793" s="487"/>
      <c r="I793" s="481">
        <f>G793/L785</f>
        <v>0.80829417596120179</v>
      </c>
      <c r="J793" s="488"/>
      <c r="K793" s="456" t="s">
        <v>1005</v>
      </c>
      <c r="L793" s="457" t="s">
        <v>1006</v>
      </c>
      <c r="M793" s="464">
        <f>SUM(AS784:AX784)+SUM(AS786:AX786)</f>
        <v>105626</v>
      </c>
      <c r="N793" s="459">
        <f t="shared" si="3976"/>
        <v>1.3189900616997168E-2</v>
      </c>
      <c r="O793" s="65">
        <f>N141+N259+N400+N378+N618+N744</f>
        <v>101292.6</v>
      </c>
      <c r="P793" s="21">
        <f t="shared" si="3977"/>
        <v>1.4304122419651764E-2</v>
      </c>
      <c r="Q793" s="25">
        <f t="shared" si="3973"/>
        <v>4333.3999999999942</v>
      </c>
      <c r="R793" s="405"/>
      <c r="S793" s="405"/>
      <c r="T793" s="405"/>
      <c r="U793" s="647"/>
      <c r="V793" s="645"/>
      <c r="W793" s="646"/>
      <c r="X793" s="483"/>
      <c r="Y793" s="483"/>
      <c r="Z793" s="483"/>
      <c r="AA793" s="636" t="s">
        <v>1007</v>
      </c>
      <c r="AB793" s="637"/>
      <c r="AC793" s="465">
        <f t="shared" si="3974"/>
        <v>0</v>
      </c>
      <c r="AD793" s="237"/>
      <c r="AE793" s="466"/>
      <c r="AF793" s="466"/>
      <c r="AG793" s="467">
        <v>0</v>
      </c>
      <c r="AH793" s="484"/>
      <c r="AI793" s="469"/>
      <c r="AJ793" s="469"/>
      <c r="AK793" s="470">
        <v>0</v>
      </c>
      <c r="AL793" s="484"/>
      <c r="AM793" s="469"/>
      <c r="AN793" s="469"/>
      <c r="AO793" s="470">
        <v>0</v>
      </c>
      <c r="AP793" s="405"/>
      <c r="AQ793" s="405"/>
      <c r="AR793" s="405"/>
      <c r="AS793" s="405"/>
      <c r="AT793" s="405"/>
      <c r="AU793" s="405"/>
      <c r="AV793" s="405"/>
      <c r="AW793" s="405"/>
      <c r="AX793" s="405"/>
      <c r="AY793" s="405"/>
      <c r="AZ793" s="405"/>
      <c r="BA793" s="405"/>
      <c r="BB793" s="405"/>
      <c r="BC793" s="405"/>
      <c r="BD793" s="405"/>
      <c r="BE793" s="405"/>
      <c r="BF793" s="405"/>
      <c r="BG793" s="405"/>
      <c r="BH793" s="405"/>
      <c r="BI793" s="405"/>
      <c r="BJ793" s="405"/>
      <c r="BK793" s="405"/>
      <c r="BL793" s="405"/>
      <c r="BM793" s="405"/>
      <c r="BN793" s="405"/>
      <c r="BO793" s="405"/>
      <c r="BP793" s="405"/>
      <c r="BQ793" s="405"/>
      <c r="BR793" s="405"/>
      <c r="BS793" s="405"/>
      <c r="BT793" s="405"/>
      <c r="BU793" s="405" t="str">
        <f t="shared" si="3966"/>
        <v/>
      </c>
      <c r="BV793" s="405" t="str">
        <f t="shared" si="3967"/>
        <v/>
      </c>
      <c r="BW793" s="405"/>
      <c r="BX793" s="6"/>
      <c r="BY793" s="6"/>
      <c r="BZ793" s="6"/>
      <c r="CA793" s="6"/>
      <c r="CB793" s="6"/>
      <c r="CC793" s="6"/>
      <c r="CD793" s="6"/>
      <c r="CE793" s="6"/>
      <c r="CF793" s="6"/>
      <c r="CG793" s="6"/>
    </row>
    <row r="794" spans="1:85" ht="15.75" customHeight="1">
      <c r="A794" s="489" t="s">
        <v>1008</v>
      </c>
      <c r="B794" s="490">
        <v>3677973.91</v>
      </c>
      <c r="C794" s="491">
        <v>22057727</v>
      </c>
      <c r="D794" s="479" t="s">
        <v>1009</v>
      </c>
      <c r="E794" s="480"/>
      <c r="F794" s="480"/>
      <c r="G794" s="480">
        <f>M785</f>
        <v>0</v>
      </c>
      <c r="H794" s="487"/>
      <c r="I794" s="481">
        <f>G794/L785</f>
        <v>0</v>
      </c>
      <c r="J794" s="488"/>
      <c r="K794" s="456" t="s">
        <v>1010</v>
      </c>
      <c r="L794" s="457" t="s">
        <v>991</v>
      </c>
      <c r="M794" s="464">
        <f>SUM(BQ784:BV784)+SUM(BQ786:BV786)</f>
        <v>180000</v>
      </c>
      <c r="N794" s="459">
        <f t="shared" si="3976"/>
        <v>2.247725097096823E-2</v>
      </c>
      <c r="O794" s="65">
        <f>N125</f>
        <v>0</v>
      </c>
      <c r="P794" s="21">
        <f t="shared" si="3977"/>
        <v>0</v>
      </c>
      <c r="Q794" s="25">
        <f t="shared" si="3973"/>
        <v>180000</v>
      </c>
      <c r="R794" s="405"/>
      <c r="S794" s="405"/>
      <c r="T794" s="405"/>
      <c r="U794" s="647"/>
      <c r="V794" s="645"/>
      <c r="W794" s="646"/>
      <c r="X794" s="483"/>
      <c r="Y794" s="483"/>
      <c r="Z794" s="483"/>
      <c r="AA794" s="636" t="s">
        <v>1011</v>
      </c>
      <c r="AB794" s="637"/>
      <c r="AC794" s="465">
        <f>K767+K769</f>
        <v>645375.58000000007</v>
      </c>
      <c r="AD794" s="237"/>
      <c r="AE794" s="466"/>
      <c r="AF794" s="466"/>
      <c r="AG794" s="467">
        <v>0</v>
      </c>
      <c r="AH794" s="484"/>
      <c r="AI794" s="469"/>
      <c r="AJ794" s="469"/>
      <c r="AK794" s="470">
        <v>0</v>
      </c>
      <c r="AL794" s="484"/>
      <c r="AM794" s="469"/>
      <c r="AN794" s="469"/>
      <c r="AO794" s="470">
        <v>0</v>
      </c>
      <c r="AP794" s="405"/>
      <c r="AQ794" s="405"/>
      <c r="AR794" s="405"/>
      <c r="AS794" s="405"/>
      <c r="AT794" s="405"/>
      <c r="AU794" s="405"/>
      <c r="AV794" s="405"/>
      <c r="AW794" s="405"/>
      <c r="AX794" s="405"/>
      <c r="AY794" s="405"/>
      <c r="AZ794" s="405"/>
      <c r="BA794" s="405"/>
      <c r="BB794" s="405"/>
      <c r="BC794" s="405"/>
      <c r="BD794" s="405"/>
      <c r="BE794" s="405"/>
      <c r="BF794" s="405"/>
      <c r="BG794" s="405"/>
      <c r="BH794" s="405"/>
      <c r="BI794" s="405"/>
      <c r="BJ794" s="405"/>
      <c r="BK794" s="405"/>
      <c r="BL794" s="405"/>
      <c r="BM794" s="405"/>
      <c r="BN794" s="405"/>
      <c r="BO794" s="405"/>
      <c r="BP794" s="405"/>
      <c r="BQ794" s="405"/>
      <c r="BR794" s="405"/>
      <c r="BS794" s="405"/>
      <c r="BT794" s="405"/>
      <c r="BU794" s="405" t="str">
        <f t="shared" si="3966"/>
        <v/>
      </c>
      <c r="BV794" s="405" t="str">
        <f t="shared" si="3967"/>
        <v/>
      </c>
      <c r="BW794" s="405"/>
      <c r="BX794" s="6"/>
      <c r="BY794" s="6"/>
      <c r="BZ794" s="6"/>
      <c r="CA794" s="6"/>
      <c r="CB794" s="6"/>
      <c r="CC794" s="6"/>
      <c r="CD794" s="6"/>
      <c r="CE794" s="6"/>
      <c r="CF794" s="6"/>
      <c r="CG794" s="6"/>
    </row>
    <row r="795" spans="1:85" ht="15.75" customHeight="1">
      <c r="A795" s="489" t="s">
        <v>1012</v>
      </c>
      <c r="B795" s="490">
        <v>56631.13</v>
      </c>
      <c r="C795" s="491">
        <v>22057729</v>
      </c>
      <c r="D795" s="651" t="s">
        <v>1013</v>
      </c>
      <c r="E795" s="492" t="s">
        <v>1014</v>
      </c>
      <c r="F795" s="492" t="s">
        <v>1015</v>
      </c>
      <c r="G795" s="492" t="s">
        <v>1016</v>
      </c>
      <c r="H795" s="492" t="s">
        <v>1017</v>
      </c>
      <c r="I795" s="493" t="s">
        <v>1018</v>
      </c>
      <c r="J795" s="494" t="s">
        <v>1019</v>
      </c>
      <c r="K795" s="456" t="s">
        <v>683</v>
      </c>
      <c r="L795" s="457" t="s">
        <v>1020</v>
      </c>
      <c r="M795" s="464">
        <f>SUM(BK784:BP784)+SUM(BK786:BP786)</f>
        <v>7000</v>
      </c>
      <c r="N795" s="459">
        <f t="shared" si="3976"/>
        <v>8.7411531553765326E-4</v>
      </c>
      <c r="O795" s="65">
        <f>N588</f>
        <v>7000</v>
      </c>
      <c r="P795" s="21">
        <f t="shared" si="3977"/>
        <v>9.8851107521736388E-4</v>
      </c>
      <c r="Q795" s="25">
        <f t="shared" si="3973"/>
        <v>0</v>
      </c>
      <c r="R795" s="405"/>
      <c r="S795" s="405"/>
      <c r="T795" s="405"/>
      <c r="U795" s="647"/>
      <c r="V795" s="645"/>
      <c r="W795" s="646"/>
      <c r="X795" s="483"/>
      <c r="Y795" s="483"/>
      <c r="Z795" s="483"/>
      <c r="AA795" s="636" t="s">
        <v>1021</v>
      </c>
      <c r="AB795" s="637"/>
      <c r="AC795" s="465">
        <f>K768</f>
        <v>3528</v>
      </c>
      <c r="AD795" s="237"/>
      <c r="AE795" s="466"/>
      <c r="AF795" s="466"/>
      <c r="AG795" s="467">
        <v>0</v>
      </c>
      <c r="AH795" s="484"/>
      <c r="AI795" s="469"/>
      <c r="AJ795" s="469"/>
      <c r="AK795" s="470">
        <v>0</v>
      </c>
      <c r="AL795" s="484"/>
      <c r="AM795" s="469"/>
      <c r="AN795" s="469"/>
      <c r="AO795" s="470">
        <v>0</v>
      </c>
      <c r="AP795" s="405"/>
      <c r="AQ795" s="405"/>
      <c r="AR795" s="405"/>
      <c r="AS795" s="405"/>
      <c r="AT795" s="405"/>
      <c r="AU795" s="405"/>
      <c r="AV795" s="405"/>
      <c r="AW795" s="405"/>
      <c r="AX795" s="405"/>
      <c r="AY795" s="405"/>
      <c r="AZ795" s="405"/>
      <c r="BA795" s="405"/>
      <c r="BB795" s="405"/>
      <c r="BC795" s="405"/>
      <c r="BD795" s="405"/>
      <c r="BE795" s="405"/>
      <c r="BF795" s="405"/>
      <c r="BG795" s="405"/>
      <c r="BH795" s="405"/>
      <c r="BI795" s="405"/>
      <c r="BJ795" s="405"/>
      <c r="BK795" s="405"/>
      <c r="BL795" s="405"/>
      <c r="BM795" s="405"/>
      <c r="BN795" s="405"/>
      <c r="BO795" s="405"/>
      <c r="BP795" s="405"/>
      <c r="BQ795" s="405"/>
      <c r="BR795" s="405"/>
      <c r="BS795" s="405"/>
      <c r="BT795" s="405"/>
      <c r="BU795" s="405" t="str">
        <f t="shared" si="3966"/>
        <v/>
      </c>
      <c r="BV795" s="405" t="str">
        <f t="shared" si="3967"/>
        <v/>
      </c>
      <c r="BW795" s="405"/>
      <c r="BX795" s="6"/>
      <c r="BY795" s="6"/>
      <c r="BZ795" s="6"/>
      <c r="CA795" s="6"/>
      <c r="CB795" s="6"/>
      <c r="CC795" s="6"/>
      <c r="CD795" s="6"/>
      <c r="CE795" s="6"/>
      <c r="CF795" s="6"/>
      <c r="CG795" s="6"/>
    </row>
    <row r="796" spans="1:85" ht="15.75" customHeight="1">
      <c r="A796" s="489" t="s">
        <v>1022</v>
      </c>
      <c r="B796" s="490">
        <v>2599684.56</v>
      </c>
      <c r="C796" s="495">
        <v>22057730</v>
      </c>
      <c r="D796" s="652"/>
      <c r="E796" s="496" t="s">
        <v>1023</v>
      </c>
      <c r="F796" s="497">
        <f>G3</f>
        <v>4909157.17</v>
      </c>
      <c r="G796" s="496">
        <v>4909157.17</v>
      </c>
      <c r="H796" s="497">
        <f t="shared" ref="H796:H799" si="3978">G796-F796</f>
        <v>0</v>
      </c>
      <c r="I796" s="498">
        <f t="shared" ref="I796:I798" si="3979">M789</f>
        <v>4748487.9800000004</v>
      </c>
      <c r="J796" s="499">
        <f t="shared" ref="J796:J799" si="3980">G796-I796</f>
        <v>160669.18999999948</v>
      </c>
      <c r="K796" s="500" t="s">
        <v>1024</v>
      </c>
      <c r="L796" s="457" t="s">
        <v>1025</v>
      </c>
      <c r="M796" s="464">
        <f>SUM(AY784:BD784)+SUM(AY786:BD786)</f>
        <v>92404</v>
      </c>
      <c r="N796" s="459">
        <f t="shared" si="3976"/>
        <v>1.1538821659563046E-2</v>
      </c>
      <c r="O796" s="65">
        <f>N254+N257+N725+N740+N485</f>
        <v>92404</v>
      </c>
      <c r="P796" s="21">
        <f t="shared" si="3977"/>
        <v>1.3048911056340755E-2</v>
      </c>
      <c r="Q796" s="25">
        <f t="shared" si="3973"/>
        <v>0</v>
      </c>
      <c r="R796" s="405"/>
      <c r="S796" s="405"/>
      <c r="T796" s="405"/>
      <c r="U796" s="648"/>
      <c r="V796" s="649"/>
      <c r="W796" s="650"/>
      <c r="X796" s="483"/>
      <c r="Y796" s="483"/>
      <c r="Z796" s="483"/>
      <c r="AA796" s="636" t="s">
        <v>1026</v>
      </c>
      <c r="AB796" s="637"/>
      <c r="AC796" s="465">
        <f>K770</f>
        <v>48510</v>
      </c>
      <c r="AD796" s="237"/>
      <c r="AE796" s="466"/>
      <c r="AF796" s="466"/>
      <c r="AG796" s="466"/>
      <c r="AH796" s="484"/>
      <c r="AI796" s="469"/>
      <c r="AJ796" s="469"/>
      <c r="AK796" s="470">
        <v>0</v>
      </c>
      <c r="AL796" s="484"/>
      <c r="AM796" s="469"/>
      <c r="AN796" s="469"/>
      <c r="AO796" s="470">
        <v>0</v>
      </c>
      <c r="AP796" s="405"/>
      <c r="AQ796" s="405"/>
      <c r="AR796" s="405"/>
      <c r="AS796" s="405"/>
      <c r="AT796" s="405"/>
      <c r="AU796" s="405"/>
      <c r="AV796" s="405"/>
      <c r="AW796" s="405"/>
      <c r="AX796" s="405"/>
      <c r="AY796" s="405"/>
      <c r="AZ796" s="405"/>
      <c r="BA796" s="405"/>
      <c r="BB796" s="405"/>
      <c r="BC796" s="405"/>
      <c r="BD796" s="405"/>
      <c r="BE796" s="405"/>
      <c r="BF796" s="405"/>
      <c r="BG796" s="405"/>
      <c r="BH796" s="405"/>
      <c r="BI796" s="405"/>
      <c r="BJ796" s="405"/>
      <c r="BK796" s="405"/>
      <c r="BL796" s="405"/>
      <c r="BM796" s="405"/>
      <c r="BN796" s="405"/>
      <c r="BO796" s="405"/>
      <c r="BP796" s="405"/>
      <c r="BQ796" s="405"/>
      <c r="BR796" s="405"/>
      <c r="BS796" s="405"/>
      <c r="BT796" s="405"/>
      <c r="BU796" s="405"/>
      <c r="BV796" s="405"/>
      <c r="BW796" s="405"/>
      <c r="BX796" s="6"/>
      <c r="BY796" s="6"/>
      <c r="BZ796" s="6"/>
      <c r="CA796" s="6"/>
      <c r="CB796" s="6"/>
      <c r="CC796" s="6"/>
      <c r="CD796" s="6"/>
      <c r="CE796" s="6"/>
      <c r="CF796" s="6"/>
      <c r="CG796" s="6"/>
    </row>
    <row r="797" spans="1:85" ht="15.75" customHeight="1">
      <c r="A797" s="485"/>
      <c r="B797" s="477"/>
      <c r="C797" s="501"/>
      <c r="D797" s="652"/>
      <c r="E797" s="496" t="s">
        <v>1027</v>
      </c>
      <c r="F797" s="497">
        <f>H420</f>
        <v>2073197.3100000003</v>
      </c>
      <c r="G797" s="496">
        <v>2073197.31</v>
      </c>
      <c r="H797" s="497">
        <f t="shared" si="3978"/>
        <v>0</v>
      </c>
      <c r="I797" s="498">
        <f t="shared" si="3979"/>
        <v>1883092.55</v>
      </c>
      <c r="J797" s="499">
        <f t="shared" si="3980"/>
        <v>190104.76</v>
      </c>
      <c r="K797" s="640" t="s">
        <v>1028</v>
      </c>
      <c r="L797" s="637"/>
      <c r="M797" s="419">
        <f>SUM(M789:M796)</f>
        <v>8008096.7300000004</v>
      </c>
      <c r="N797" s="502">
        <f t="shared" si="3976"/>
        <v>1</v>
      </c>
      <c r="O797" s="419">
        <f>SUM(O789:O796)</f>
        <v>7081357.1800000006</v>
      </c>
      <c r="P797" s="503">
        <f t="shared" si="3977"/>
        <v>1.0000000000000002</v>
      </c>
      <c r="Q797" s="504">
        <f>SUM(Q789:Q796)</f>
        <v>926739.54999999923</v>
      </c>
      <c r="R797" s="405"/>
      <c r="S797" s="405"/>
      <c r="T797" s="405"/>
      <c r="U797" s="505"/>
      <c r="V797" s="505"/>
      <c r="W797" s="505"/>
      <c r="X797" s="483"/>
      <c r="Y797" s="483"/>
      <c r="Z797" s="483"/>
      <c r="AA797" s="641" t="s">
        <v>63</v>
      </c>
      <c r="AB797" s="637"/>
      <c r="AC797" s="506">
        <f>SUM(AC790:AC796)</f>
        <v>747067.58000000007</v>
      </c>
      <c r="AD797" s="641" t="s">
        <v>63</v>
      </c>
      <c r="AE797" s="639"/>
      <c r="AF797" s="637"/>
      <c r="AG797" s="506">
        <f>SUM(AG790:AG796)</f>
        <v>0</v>
      </c>
      <c r="AH797" s="642" t="s">
        <v>63</v>
      </c>
      <c r="AI797" s="639"/>
      <c r="AJ797" s="637"/>
      <c r="AK797" s="506">
        <f>SUM(AK790:AK796)</f>
        <v>0</v>
      </c>
      <c r="AL797" s="642" t="s">
        <v>63</v>
      </c>
      <c r="AM797" s="639"/>
      <c r="AN797" s="637"/>
      <c r="AO797" s="506">
        <f>SUM(AO790:AO796)</f>
        <v>0</v>
      </c>
      <c r="AP797" s="405"/>
      <c r="AQ797" s="405"/>
      <c r="AR797" s="405"/>
      <c r="AS797" s="405"/>
      <c r="AT797" s="405"/>
      <c r="AU797" s="405"/>
      <c r="AV797" s="405"/>
      <c r="AW797" s="405"/>
      <c r="AX797" s="405"/>
      <c r="AY797" s="405"/>
      <c r="AZ797" s="405"/>
      <c r="BA797" s="405"/>
      <c r="BB797" s="405"/>
      <c r="BC797" s="405"/>
      <c r="BD797" s="405"/>
      <c r="BE797" s="405"/>
      <c r="BF797" s="405"/>
      <c r="BG797" s="405"/>
      <c r="BH797" s="405"/>
      <c r="BI797" s="405"/>
      <c r="BJ797" s="405"/>
      <c r="BK797" s="405"/>
      <c r="BL797" s="405"/>
      <c r="BM797" s="405"/>
      <c r="BN797" s="405"/>
      <c r="BO797" s="405"/>
      <c r="BP797" s="405"/>
      <c r="BQ797" s="405"/>
      <c r="BR797" s="405"/>
      <c r="BS797" s="405"/>
      <c r="BT797" s="405"/>
      <c r="BU797" s="405"/>
      <c r="BV797" s="405"/>
      <c r="BW797" s="405"/>
      <c r="BX797" s="6"/>
      <c r="BY797" s="6"/>
      <c r="BZ797" s="6"/>
      <c r="CA797" s="6"/>
      <c r="CB797" s="6"/>
      <c r="CC797" s="6"/>
      <c r="CD797" s="6"/>
      <c r="CE797" s="6"/>
      <c r="CF797" s="6"/>
      <c r="CG797" s="6"/>
    </row>
    <row r="798" spans="1:85" ht="15.75" customHeight="1">
      <c r="A798" s="489" t="s">
        <v>1029</v>
      </c>
      <c r="B798" s="477">
        <f>K3+N3</f>
        <v>7081357.1800000016</v>
      </c>
      <c r="C798" s="507">
        <f>B798-B794-B795-B796-AC797</f>
        <v>1.3969838619232178E-9</v>
      </c>
      <c r="D798" s="652"/>
      <c r="E798" s="496" t="s">
        <v>1030</v>
      </c>
      <c r="F798" s="497">
        <f>H406</f>
        <v>658100</v>
      </c>
      <c r="G798" s="496">
        <v>658100</v>
      </c>
      <c r="H798" s="497">
        <f t="shared" si="3978"/>
        <v>0</v>
      </c>
      <c r="I798" s="498">
        <f t="shared" si="3979"/>
        <v>725293</v>
      </c>
      <c r="J798" s="499">
        <f t="shared" si="3980"/>
        <v>-67193</v>
      </c>
      <c r="K798" s="505"/>
      <c r="L798" s="404"/>
      <c r="M798" s="405"/>
      <c r="N798" s="505"/>
      <c r="O798" s="405">
        <f>O797-K3-N3</f>
        <v>0</v>
      </c>
      <c r="P798" s="405"/>
      <c r="Q798" s="405"/>
      <c r="R798" s="405"/>
      <c r="S798" s="405"/>
      <c r="T798" s="405"/>
      <c r="U798" s="505"/>
      <c r="V798" s="505"/>
      <c r="W798" s="505"/>
      <c r="X798" s="483"/>
      <c r="Y798" s="483"/>
      <c r="Z798" s="483"/>
      <c r="AA798" s="638" t="s">
        <v>1031</v>
      </c>
      <c r="AB798" s="639"/>
      <c r="AC798" s="639"/>
      <c r="AD798" s="639"/>
      <c r="AE798" s="639"/>
      <c r="AF798" s="637"/>
      <c r="AG798" s="508">
        <f>AC797-AG797</f>
        <v>747067.58000000007</v>
      </c>
      <c r="AH798" s="509"/>
      <c r="AI798" s="405"/>
      <c r="AJ798" s="405"/>
      <c r="AK798" s="405"/>
      <c r="AL798" s="405"/>
      <c r="AM798" s="405"/>
      <c r="AN798" s="405"/>
      <c r="AO798" s="405"/>
      <c r="AP798" s="405"/>
      <c r="AQ798" s="405"/>
      <c r="AR798" s="405"/>
      <c r="AS798" s="405"/>
      <c r="AT798" s="405"/>
      <c r="AU798" s="405"/>
      <c r="AV798" s="405"/>
      <c r="AW798" s="405"/>
      <c r="AX798" s="405"/>
      <c r="AY798" s="405"/>
      <c r="AZ798" s="405"/>
      <c r="BA798" s="405"/>
      <c r="BB798" s="405"/>
      <c r="BC798" s="405"/>
      <c r="BD798" s="405"/>
      <c r="BE798" s="405"/>
      <c r="BF798" s="405"/>
      <c r="BG798" s="405"/>
      <c r="BH798" s="405"/>
      <c r="BI798" s="405"/>
      <c r="BJ798" s="405"/>
      <c r="BK798" s="405"/>
      <c r="BL798" s="405"/>
      <c r="BM798" s="405"/>
      <c r="BN798" s="405"/>
      <c r="BO798" s="405"/>
      <c r="BP798" s="405"/>
      <c r="BQ798" s="405"/>
      <c r="BR798" s="405"/>
      <c r="BS798" s="405"/>
      <c r="BT798" s="405"/>
      <c r="BU798" s="405"/>
      <c r="BV798" s="405"/>
      <c r="BW798" s="405"/>
      <c r="BX798" s="6"/>
      <c r="BY798" s="6"/>
      <c r="BZ798" s="6"/>
      <c r="CA798" s="6"/>
      <c r="CB798" s="6"/>
      <c r="CC798" s="6"/>
      <c r="CD798" s="6"/>
      <c r="CE798" s="6"/>
      <c r="CF798" s="6"/>
      <c r="CG798" s="6"/>
    </row>
    <row r="799" spans="1:85" ht="15.75" customHeight="1">
      <c r="A799" s="510" t="s">
        <v>1032</v>
      </c>
      <c r="B799" s="511">
        <f>O3+Q3</f>
        <v>2656315.69</v>
      </c>
      <c r="C799" s="512">
        <f>B795+B796-B799</f>
        <v>0</v>
      </c>
      <c r="D799" s="652"/>
      <c r="E799" s="496" t="s">
        <v>1033</v>
      </c>
      <c r="F799" s="497">
        <f>H485</f>
        <v>96670</v>
      </c>
      <c r="G799" s="496">
        <v>96670</v>
      </c>
      <c r="H799" s="497">
        <f t="shared" si="3978"/>
        <v>0</v>
      </c>
      <c r="I799" s="497">
        <f>M796</f>
        <v>92404</v>
      </c>
      <c r="J799" s="499">
        <f t="shared" si="3980"/>
        <v>4266</v>
      </c>
      <c r="K799" s="505"/>
      <c r="L799" s="404"/>
      <c r="M799" s="405"/>
      <c r="N799" s="505"/>
      <c r="O799" s="405"/>
      <c r="P799" s="405"/>
      <c r="Q799" s="405"/>
      <c r="R799" s="405"/>
      <c r="S799" s="405"/>
      <c r="T799" s="405"/>
      <c r="U799" s="505"/>
      <c r="V799" s="505"/>
      <c r="W799" s="505"/>
      <c r="X799" s="483"/>
      <c r="Y799" s="483"/>
      <c r="Z799" s="483"/>
      <c r="AA799" s="405"/>
      <c r="AB799" s="405"/>
      <c r="AC799" s="405"/>
      <c r="AD799" s="405"/>
      <c r="AE799" s="513"/>
      <c r="AF799" s="513"/>
      <c r="AG799" s="513"/>
      <c r="AH799" s="445"/>
      <c r="AI799" s="405"/>
      <c r="AJ799" s="405"/>
      <c r="AK799" s="405"/>
      <c r="AL799" s="405"/>
      <c r="AM799" s="405"/>
      <c r="AN799" s="405"/>
      <c r="AO799" s="405"/>
      <c r="AP799" s="405"/>
      <c r="AQ799" s="405"/>
      <c r="AR799" s="405"/>
      <c r="AS799" s="405"/>
      <c r="AT799" s="405"/>
      <c r="AU799" s="405"/>
      <c r="AV799" s="405"/>
      <c r="AW799" s="405"/>
      <c r="AX799" s="405"/>
      <c r="AY799" s="405"/>
      <c r="AZ799" s="405"/>
      <c r="BA799" s="405"/>
      <c r="BB799" s="405"/>
      <c r="BC799" s="405"/>
      <c r="BD799" s="405"/>
      <c r="BE799" s="405"/>
      <c r="BF799" s="405"/>
      <c r="BG799" s="405"/>
      <c r="BH799" s="405"/>
      <c r="BI799" s="405"/>
      <c r="BJ799" s="405"/>
      <c r="BK799" s="405"/>
      <c r="BL799" s="405"/>
      <c r="BM799" s="405"/>
      <c r="BN799" s="405"/>
      <c r="BO799" s="405"/>
      <c r="BP799" s="405"/>
      <c r="BQ799" s="405"/>
      <c r="BR799" s="405"/>
      <c r="BS799" s="405"/>
      <c r="BT799" s="405"/>
      <c r="BU799" s="405"/>
      <c r="BV799" s="405"/>
      <c r="BW799" s="405"/>
      <c r="BX799" s="6"/>
      <c r="BY799" s="6"/>
      <c r="BZ799" s="6"/>
      <c r="CA799" s="6"/>
      <c r="CB799" s="6"/>
      <c r="CC799" s="6"/>
      <c r="CD799" s="6"/>
      <c r="CE799" s="6"/>
      <c r="CF799" s="6"/>
      <c r="CG799" s="6"/>
    </row>
    <row r="800" spans="1:85" ht="15.75" customHeight="1">
      <c r="A800" s="510" t="s">
        <v>1034</v>
      </c>
      <c r="B800" s="511">
        <f>R3+T3</f>
        <v>2656315.69</v>
      </c>
      <c r="C800" s="512">
        <f>B800-B796-B795</f>
        <v>-1.0913936421275139E-10</v>
      </c>
      <c r="D800" s="653"/>
      <c r="E800" s="514" t="s">
        <v>63</v>
      </c>
      <c r="F800" s="515">
        <f t="shared" ref="F800:J800" si="3981">SUM(F796:F799)</f>
        <v>7737124.4800000004</v>
      </c>
      <c r="G800" s="515">
        <f t="shared" si="3981"/>
        <v>7737124.4800000004</v>
      </c>
      <c r="H800" s="515">
        <f t="shared" si="3981"/>
        <v>0</v>
      </c>
      <c r="I800" s="515">
        <f t="shared" si="3981"/>
        <v>7449277.5300000003</v>
      </c>
      <c r="J800" s="516">
        <f t="shared" si="3981"/>
        <v>287846.94999999949</v>
      </c>
      <c r="K800" s="505"/>
      <c r="L800" s="404"/>
      <c r="M800" s="405"/>
      <c r="N800" s="505"/>
      <c r="O800" s="405"/>
      <c r="P800" s="405"/>
      <c r="Q800" s="405"/>
      <c r="R800" s="517"/>
      <c r="S800" s="517"/>
      <c r="T800" s="517"/>
      <c r="U800" s="518"/>
      <c r="V800" s="518"/>
      <c r="W800" s="517"/>
      <c r="X800" s="519"/>
      <c r="Y800" s="519"/>
      <c r="Z800" s="519"/>
      <c r="AA800" s="405"/>
      <c r="AB800" s="405"/>
      <c r="AC800" s="405"/>
      <c r="AD800" s="405"/>
      <c r="AE800" s="444"/>
      <c r="AF800" s="444"/>
      <c r="AG800" s="444"/>
      <c r="AH800" s="444"/>
      <c r="AI800" s="405"/>
      <c r="AJ800" s="405"/>
      <c r="AK800" s="405"/>
      <c r="AL800" s="405"/>
      <c r="AM800" s="405"/>
      <c r="AN800" s="405"/>
      <c r="AO800" s="405"/>
      <c r="AP800" s="517"/>
      <c r="AQ800" s="517"/>
      <c r="AR800" s="517"/>
      <c r="AS800" s="517"/>
      <c r="AT800" s="517"/>
      <c r="AU800" s="517"/>
      <c r="AV800" s="517"/>
      <c r="AW800" s="517"/>
      <c r="AX800" s="517"/>
      <c r="AY800" s="517"/>
      <c r="AZ800" s="517"/>
      <c r="BA800" s="517"/>
      <c r="BB800" s="517"/>
      <c r="BC800" s="517"/>
      <c r="BD800" s="517"/>
      <c r="BE800" s="517"/>
      <c r="BF800" s="517"/>
      <c r="BG800" s="517"/>
      <c r="BH800" s="517"/>
      <c r="BI800" s="517"/>
      <c r="BJ800" s="517"/>
      <c r="BK800" s="517"/>
      <c r="BL800" s="517"/>
      <c r="BM800" s="517"/>
      <c r="BN800" s="517"/>
      <c r="BO800" s="517"/>
      <c r="BP800" s="517"/>
      <c r="BQ800" s="517"/>
      <c r="BR800" s="517"/>
      <c r="BS800" s="517"/>
      <c r="BT800" s="517"/>
      <c r="BU800" s="517"/>
      <c r="BV800" s="517"/>
      <c r="BW800" s="517"/>
      <c r="BX800" s="520"/>
      <c r="BY800" s="520"/>
      <c r="BZ800" s="520"/>
      <c r="CA800" s="520"/>
      <c r="CB800" s="520"/>
      <c r="CC800" s="520"/>
      <c r="CD800" s="520"/>
      <c r="CE800" s="520"/>
      <c r="CF800" s="520"/>
      <c r="CG800" s="520"/>
    </row>
    <row r="801" spans="1:85" ht="15.75" customHeight="1">
      <c r="A801" s="521"/>
      <c r="B801" s="522"/>
      <c r="C801" s="520"/>
      <c r="K801" s="505"/>
      <c r="L801" s="404"/>
      <c r="M801" s="405"/>
      <c r="N801" s="505"/>
      <c r="O801" s="405"/>
      <c r="P801" s="405"/>
      <c r="Q801" s="405"/>
      <c r="R801" s="517"/>
      <c r="S801" s="517"/>
      <c r="T801" s="517"/>
      <c r="U801" s="518"/>
      <c r="V801" s="518"/>
      <c r="W801" s="517"/>
      <c r="X801" s="519"/>
      <c r="Y801" s="519"/>
      <c r="Z801" s="519"/>
      <c r="AA801" s="517"/>
      <c r="AB801" s="517"/>
      <c r="AC801" s="517"/>
      <c r="AD801" s="517"/>
      <c r="AE801" s="517"/>
      <c r="AF801" s="517"/>
      <c r="AG801" s="517"/>
      <c r="AH801" s="517"/>
      <c r="AI801" s="517"/>
      <c r="AJ801" s="517"/>
      <c r="AK801" s="517"/>
      <c r="AL801" s="517"/>
      <c r="AM801" s="517"/>
      <c r="AN801" s="517"/>
      <c r="AO801" s="517"/>
      <c r="AP801" s="517"/>
      <c r="AQ801" s="517"/>
      <c r="AR801" s="517"/>
      <c r="AS801" s="517"/>
      <c r="AT801" s="517"/>
      <c r="AU801" s="517"/>
      <c r="AV801" s="517"/>
      <c r="AW801" s="517"/>
      <c r="AX801" s="517"/>
      <c r="AY801" s="517"/>
      <c r="AZ801" s="517"/>
      <c r="BA801" s="517"/>
      <c r="BB801" s="517"/>
      <c r="BC801" s="517"/>
      <c r="BD801" s="517"/>
      <c r="BE801" s="517"/>
      <c r="BF801" s="517"/>
      <c r="BG801" s="517"/>
      <c r="BH801" s="517"/>
      <c r="BI801" s="517"/>
      <c r="BJ801" s="517"/>
      <c r="BK801" s="517"/>
      <c r="BL801" s="517"/>
      <c r="BM801" s="517"/>
      <c r="BN801" s="517"/>
      <c r="BO801" s="517"/>
      <c r="BP801" s="517"/>
      <c r="BQ801" s="517"/>
      <c r="BR801" s="517"/>
      <c r="BS801" s="517"/>
      <c r="BT801" s="517"/>
      <c r="BU801" s="517"/>
      <c r="BV801" s="517"/>
      <c r="BW801" s="517"/>
      <c r="BX801" s="520"/>
      <c r="BY801" s="520"/>
      <c r="BZ801" s="520"/>
      <c r="CA801" s="520"/>
      <c r="CB801" s="520"/>
      <c r="CC801" s="520"/>
      <c r="CD801" s="520"/>
      <c r="CE801" s="520"/>
      <c r="CF801" s="520"/>
      <c r="CG801" s="520"/>
    </row>
    <row r="802" spans="1:85" ht="15.75" customHeight="1">
      <c r="A802" s="521"/>
      <c r="B802" s="522"/>
      <c r="C802" s="520"/>
      <c r="D802" s="520"/>
      <c r="E802" s="518"/>
      <c r="F802" s="518"/>
      <c r="G802" s="518"/>
      <c r="H802" s="518"/>
      <c r="I802" s="523"/>
      <c r="J802" s="523"/>
      <c r="K802" s="505"/>
      <c r="L802" s="404"/>
      <c r="M802" s="405"/>
      <c r="N802" s="505"/>
      <c r="O802" s="405"/>
      <c r="P802" s="405"/>
      <c r="Q802" s="405"/>
      <c r="R802" s="517"/>
      <c r="S802" s="517"/>
      <c r="T802" s="517"/>
      <c r="U802" s="518"/>
      <c r="V802" s="518"/>
      <c r="W802" s="517"/>
      <c r="X802" s="519"/>
      <c r="Y802" s="519"/>
      <c r="Z802" s="519"/>
      <c r="AA802" s="517"/>
      <c r="AB802" s="517"/>
      <c r="AC802" s="517"/>
      <c r="AD802" s="517"/>
      <c r="AE802" s="517"/>
      <c r="AF802" s="517"/>
      <c r="AG802" s="517"/>
      <c r="AH802" s="517"/>
      <c r="AI802" s="517"/>
      <c r="AJ802" s="517"/>
      <c r="AK802" s="517"/>
      <c r="AL802" s="517"/>
      <c r="AM802" s="517"/>
      <c r="AN802" s="517"/>
      <c r="AO802" s="517"/>
      <c r="AP802" s="517"/>
      <c r="AQ802" s="517"/>
      <c r="AR802" s="517"/>
      <c r="AS802" s="517"/>
      <c r="AT802" s="517"/>
      <c r="AU802" s="517"/>
      <c r="AV802" s="517"/>
      <c r="AW802" s="517"/>
      <c r="AX802" s="517"/>
      <c r="AY802" s="517"/>
      <c r="AZ802" s="517"/>
      <c r="BA802" s="517"/>
      <c r="BB802" s="517"/>
      <c r="BC802" s="517"/>
      <c r="BD802" s="517"/>
      <c r="BE802" s="517"/>
      <c r="BF802" s="517"/>
      <c r="BG802" s="517"/>
      <c r="BH802" s="517"/>
      <c r="BI802" s="517"/>
      <c r="BJ802" s="517"/>
      <c r="BK802" s="517"/>
      <c r="BL802" s="517"/>
      <c r="BM802" s="517"/>
      <c r="BN802" s="517"/>
      <c r="BO802" s="517"/>
      <c r="BP802" s="517"/>
      <c r="BQ802" s="517"/>
      <c r="BR802" s="517"/>
      <c r="BS802" s="517"/>
      <c r="BT802" s="517"/>
      <c r="BU802" s="517"/>
      <c r="BV802" s="517"/>
      <c r="BW802" s="517"/>
      <c r="BX802" s="520"/>
      <c r="BY802" s="520"/>
      <c r="BZ802" s="520"/>
      <c r="CA802" s="520"/>
      <c r="CB802" s="520"/>
      <c r="CC802" s="520"/>
      <c r="CD802" s="520"/>
      <c r="CE802" s="520"/>
      <c r="CF802" s="520"/>
      <c r="CG802" s="520"/>
    </row>
    <row r="803" spans="1:85" ht="15.75">
      <c r="A803" s="524"/>
      <c r="B803" s="525"/>
      <c r="C803" s="526"/>
      <c r="D803" s="527" t="s">
        <v>1035</v>
      </c>
      <c r="E803" s="528">
        <f t="shared" ref="E803:H803" si="3982">E3-E804</f>
        <v>0</v>
      </c>
      <c r="F803" s="528">
        <f t="shared" si="3982"/>
        <v>0</v>
      </c>
      <c r="G803" s="528">
        <f t="shared" si="3982"/>
        <v>0</v>
      </c>
      <c r="H803" s="528">
        <f t="shared" si="3982"/>
        <v>0</v>
      </c>
      <c r="I803" s="529"/>
      <c r="J803" s="529"/>
      <c r="K803" s="530">
        <f t="shared" ref="K803:W803" si="3983">K3-K804</f>
        <v>0</v>
      </c>
      <c r="L803" s="530">
        <f t="shared" si="3983"/>
        <v>0</v>
      </c>
      <c r="M803" s="530">
        <f t="shared" si="3983"/>
        <v>0</v>
      </c>
      <c r="N803" s="531">
        <f t="shared" si="3983"/>
        <v>0</v>
      </c>
      <c r="O803" s="530">
        <f t="shared" si="3983"/>
        <v>0</v>
      </c>
      <c r="P803" s="530">
        <f t="shared" si="3983"/>
        <v>0</v>
      </c>
      <c r="Q803" s="530">
        <f t="shared" si="3983"/>
        <v>0</v>
      </c>
      <c r="R803" s="530">
        <f t="shared" si="3983"/>
        <v>0</v>
      </c>
      <c r="S803" s="530">
        <f t="shared" si="3983"/>
        <v>0</v>
      </c>
      <c r="T803" s="530">
        <f t="shared" si="3983"/>
        <v>0</v>
      </c>
      <c r="U803" s="528">
        <f t="shared" si="3983"/>
        <v>0</v>
      </c>
      <c r="V803" s="528">
        <f t="shared" si="3983"/>
        <v>0</v>
      </c>
      <c r="W803" s="530">
        <f t="shared" si="3983"/>
        <v>0</v>
      </c>
      <c r="X803" s="532">
        <f t="shared" ref="X803:Y803" si="3984">IF(O803&gt;0,O803/K803,0)</f>
        <v>0</v>
      </c>
      <c r="Y803" s="532">
        <f t="shared" si="3984"/>
        <v>0</v>
      </c>
      <c r="Z803" s="532">
        <f t="shared" ref="Z803:Z816" si="3985">IF(Q803&gt;0,Q803/N803,0)</f>
        <v>0</v>
      </c>
      <c r="AA803" s="530">
        <f t="shared" ref="AA803:BW803" si="3986">AA3-AA804</f>
        <v>0</v>
      </c>
      <c r="AB803" s="530">
        <f t="shared" si="3986"/>
        <v>0</v>
      </c>
      <c r="AC803" s="530">
        <f t="shared" si="3986"/>
        <v>0</v>
      </c>
      <c r="AD803" s="530">
        <f t="shared" si="3986"/>
        <v>0</v>
      </c>
      <c r="AE803" s="530">
        <f t="shared" si="3986"/>
        <v>0</v>
      </c>
      <c r="AF803" s="530">
        <f t="shared" si="3986"/>
        <v>0</v>
      </c>
      <c r="AG803" s="530">
        <f t="shared" si="3986"/>
        <v>0</v>
      </c>
      <c r="AH803" s="530">
        <f t="shared" si="3986"/>
        <v>0</v>
      </c>
      <c r="AI803" s="530">
        <f t="shared" si="3986"/>
        <v>0</v>
      </c>
      <c r="AJ803" s="530">
        <f t="shared" si="3986"/>
        <v>0</v>
      </c>
      <c r="AK803" s="530">
        <f t="shared" si="3986"/>
        <v>0</v>
      </c>
      <c r="AL803" s="530">
        <f t="shared" si="3986"/>
        <v>0</v>
      </c>
      <c r="AM803" s="530">
        <f t="shared" si="3986"/>
        <v>0</v>
      </c>
      <c r="AN803" s="530">
        <f t="shared" si="3986"/>
        <v>0</v>
      </c>
      <c r="AO803" s="530">
        <f t="shared" si="3986"/>
        <v>0</v>
      </c>
      <c r="AP803" s="530">
        <f t="shared" si="3986"/>
        <v>0</v>
      </c>
      <c r="AQ803" s="530">
        <f t="shared" si="3986"/>
        <v>0</v>
      </c>
      <c r="AR803" s="530">
        <f t="shared" si="3986"/>
        <v>0</v>
      </c>
      <c r="AS803" s="530">
        <f t="shared" si="3986"/>
        <v>0</v>
      </c>
      <c r="AT803" s="530">
        <f t="shared" si="3986"/>
        <v>0</v>
      </c>
      <c r="AU803" s="530">
        <f t="shared" si="3986"/>
        <v>0</v>
      </c>
      <c r="AV803" s="530">
        <f t="shared" si="3986"/>
        <v>0</v>
      </c>
      <c r="AW803" s="530">
        <f t="shared" si="3986"/>
        <v>0</v>
      </c>
      <c r="AX803" s="530">
        <f t="shared" si="3986"/>
        <v>0</v>
      </c>
      <c r="AY803" s="530">
        <f t="shared" si="3986"/>
        <v>0</v>
      </c>
      <c r="AZ803" s="530">
        <f t="shared" si="3986"/>
        <v>0</v>
      </c>
      <c r="BA803" s="530">
        <f t="shared" si="3986"/>
        <v>0</v>
      </c>
      <c r="BB803" s="530">
        <f t="shared" si="3986"/>
        <v>0</v>
      </c>
      <c r="BC803" s="530">
        <f t="shared" si="3986"/>
        <v>0</v>
      </c>
      <c r="BD803" s="530">
        <f t="shared" si="3986"/>
        <v>0</v>
      </c>
      <c r="BE803" s="530">
        <f t="shared" si="3986"/>
        <v>0</v>
      </c>
      <c r="BF803" s="530">
        <f t="shared" si="3986"/>
        <v>0</v>
      </c>
      <c r="BG803" s="530">
        <f t="shared" si="3986"/>
        <v>0</v>
      </c>
      <c r="BH803" s="530">
        <f t="shared" si="3986"/>
        <v>0</v>
      </c>
      <c r="BI803" s="530">
        <f t="shared" si="3986"/>
        <v>0</v>
      </c>
      <c r="BJ803" s="530">
        <f t="shared" si="3986"/>
        <v>0</v>
      </c>
      <c r="BK803" s="530">
        <f t="shared" si="3986"/>
        <v>0</v>
      </c>
      <c r="BL803" s="530">
        <f t="shared" si="3986"/>
        <v>0</v>
      </c>
      <c r="BM803" s="530">
        <f t="shared" si="3986"/>
        <v>0</v>
      </c>
      <c r="BN803" s="530">
        <f t="shared" si="3986"/>
        <v>0</v>
      </c>
      <c r="BO803" s="530">
        <f t="shared" si="3986"/>
        <v>0</v>
      </c>
      <c r="BP803" s="530">
        <f t="shared" si="3986"/>
        <v>0</v>
      </c>
      <c r="BQ803" s="530">
        <f t="shared" si="3986"/>
        <v>0</v>
      </c>
      <c r="BR803" s="530">
        <f t="shared" si="3986"/>
        <v>0</v>
      </c>
      <c r="BS803" s="530">
        <f t="shared" si="3986"/>
        <v>0</v>
      </c>
      <c r="BT803" s="530">
        <f t="shared" si="3986"/>
        <v>0</v>
      </c>
      <c r="BU803" s="530">
        <f t="shared" si="3986"/>
        <v>0</v>
      </c>
      <c r="BV803" s="530">
        <f t="shared" si="3986"/>
        <v>0</v>
      </c>
      <c r="BW803" s="530">
        <f t="shared" si="3986"/>
        <v>0</v>
      </c>
      <c r="BX803" s="6"/>
      <c r="BY803" s="6"/>
      <c r="BZ803" s="6"/>
      <c r="CA803" s="6"/>
      <c r="CB803" s="6"/>
      <c r="CC803" s="6"/>
      <c r="CD803" s="6"/>
      <c r="CE803" s="6"/>
      <c r="CF803" s="6"/>
      <c r="CG803" s="6"/>
    </row>
    <row r="804" spans="1:85" ht="31.5">
      <c r="A804" s="533"/>
      <c r="B804" s="534"/>
      <c r="C804" s="535"/>
      <c r="D804" s="37" t="s">
        <v>1036</v>
      </c>
      <c r="E804" s="536">
        <f t="shared" ref="E804:H804" si="3987">SUM(E805:E839)</f>
        <v>4909157.17</v>
      </c>
      <c r="F804" s="536">
        <f t="shared" si="3987"/>
        <v>0</v>
      </c>
      <c r="G804" s="252">
        <f t="shared" si="3987"/>
        <v>4909157.17</v>
      </c>
      <c r="H804" s="536">
        <f t="shared" si="3987"/>
        <v>13172160.510000002</v>
      </c>
      <c r="I804" s="537"/>
      <c r="J804" s="537"/>
      <c r="K804" s="536">
        <f t="shared" ref="K804:W804" si="3988">SUM(K805:K839)</f>
        <v>4433298.03</v>
      </c>
      <c r="L804" s="536">
        <f t="shared" si="3988"/>
        <v>1710512.3</v>
      </c>
      <c r="M804" s="536">
        <f t="shared" si="3988"/>
        <v>0</v>
      </c>
      <c r="N804" s="536">
        <f t="shared" si="3988"/>
        <v>2648059.15</v>
      </c>
      <c r="O804" s="536">
        <f t="shared" si="3988"/>
        <v>1685030.29</v>
      </c>
      <c r="P804" s="536">
        <f t="shared" si="3988"/>
        <v>1382597.13</v>
      </c>
      <c r="Q804" s="536">
        <f t="shared" si="3988"/>
        <v>971285.39999999991</v>
      </c>
      <c r="R804" s="536">
        <f t="shared" si="3988"/>
        <v>1685030.29</v>
      </c>
      <c r="S804" s="536">
        <f t="shared" si="3988"/>
        <v>1382597.13</v>
      </c>
      <c r="T804" s="536">
        <f t="shared" si="3988"/>
        <v>971285.39999999991</v>
      </c>
      <c r="U804" s="536">
        <f t="shared" si="3988"/>
        <v>2748267.7399999998</v>
      </c>
      <c r="V804" s="536">
        <f t="shared" si="3988"/>
        <v>327915.17000000004</v>
      </c>
      <c r="W804" s="536">
        <f t="shared" si="3988"/>
        <v>1676773.75</v>
      </c>
      <c r="X804" s="324">
        <f t="shared" ref="X804:Y804" si="3989">IF(O804&gt;0,O804/K804,0)</f>
        <v>0.38008504697799439</v>
      </c>
      <c r="Y804" s="324">
        <f t="shared" si="3989"/>
        <v>0.80829417596120168</v>
      </c>
      <c r="Z804" s="324">
        <f t="shared" si="3985"/>
        <v>0.36679142911139273</v>
      </c>
      <c r="AA804" s="536">
        <f t="shared" ref="AA804:BW804" si="3990">SUM(AA805:AA839)</f>
        <v>93378.450000000012</v>
      </c>
      <c r="AB804" s="536">
        <f t="shared" si="3990"/>
        <v>371583.61</v>
      </c>
      <c r="AC804" s="536">
        <f t="shared" si="3990"/>
        <v>0</v>
      </c>
      <c r="AD804" s="536">
        <f t="shared" si="3990"/>
        <v>168750.13999999998</v>
      </c>
      <c r="AE804" s="536">
        <f t="shared" si="3990"/>
        <v>347475.93</v>
      </c>
      <c r="AF804" s="536">
        <f t="shared" si="3990"/>
        <v>94301.75</v>
      </c>
      <c r="AG804" s="536">
        <f t="shared" si="3990"/>
        <v>323840.51999999996</v>
      </c>
      <c r="AH804" s="536">
        <f t="shared" si="3990"/>
        <v>244921.60000000001</v>
      </c>
      <c r="AI804" s="536">
        <f t="shared" si="3990"/>
        <v>191356.57</v>
      </c>
      <c r="AJ804" s="536">
        <f t="shared" si="3990"/>
        <v>266110.07</v>
      </c>
      <c r="AK804" s="536">
        <f t="shared" si="3990"/>
        <v>123791.76000000001</v>
      </c>
      <c r="AL804" s="536">
        <f t="shared" si="3990"/>
        <v>183221.65000000002</v>
      </c>
      <c r="AM804" s="536">
        <f t="shared" si="3990"/>
        <v>429054.42000000004</v>
      </c>
      <c r="AN804" s="536">
        <f t="shared" si="3990"/>
        <v>165769.21000000002</v>
      </c>
      <c r="AO804" s="536">
        <f t="shared" si="3990"/>
        <v>235295.01</v>
      </c>
      <c r="AP804" s="536">
        <f t="shared" si="3990"/>
        <v>403846.58999999997</v>
      </c>
      <c r="AQ804" s="536">
        <f t="shared" si="3990"/>
        <v>129055.01999999999</v>
      </c>
      <c r="AR804" s="536">
        <f t="shared" si="3990"/>
        <v>267110.42</v>
      </c>
      <c r="AS804" s="536">
        <f t="shared" si="3990"/>
        <v>0</v>
      </c>
      <c r="AT804" s="536">
        <f t="shared" si="3990"/>
        <v>0</v>
      </c>
      <c r="AU804" s="536">
        <f t="shared" si="3990"/>
        <v>0</v>
      </c>
      <c r="AV804" s="536">
        <f t="shared" si="3990"/>
        <v>0</v>
      </c>
      <c r="AW804" s="536">
        <f t="shared" si="3990"/>
        <v>0</v>
      </c>
      <c r="AX804" s="536">
        <f t="shared" si="3990"/>
        <v>0</v>
      </c>
      <c r="AY804" s="536">
        <f t="shared" si="3990"/>
        <v>0</v>
      </c>
      <c r="AZ804" s="536">
        <f t="shared" si="3990"/>
        <v>0</v>
      </c>
      <c r="BA804" s="536">
        <f t="shared" si="3990"/>
        <v>0</v>
      </c>
      <c r="BB804" s="536">
        <f t="shared" si="3990"/>
        <v>0</v>
      </c>
      <c r="BC804" s="536">
        <f t="shared" si="3990"/>
        <v>0</v>
      </c>
      <c r="BD804" s="536">
        <f t="shared" si="3990"/>
        <v>0</v>
      </c>
      <c r="BE804" s="536">
        <f t="shared" si="3990"/>
        <v>0</v>
      </c>
      <c r="BF804" s="536">
        <f t="shared" si="3990"/>
        <v>0</v>
      </c>
      <c r="BG804" s="536">
        <f t="shared" si="3990"/>
        <v>0</v>
      </c>
      <c r="BH804" s="536">
        <f t="shared" si="3990"/>
        <v>0</v>
      </c>
      <c r="BI804" s="536">
        <f t="shared" si="3990"/>
        <v>0</v>
      </c>
      <c r="BJ804" s="536">
        <f t="shared" si="3990"/>
        <v>0</v>
      </c>
      <c r="BK804" s="536">
        <f t="shared" si="3990"/>
        <v>0</v>
      </c>
      <c r="BL804" s="536">
        <f t="shared" si="3990"/>
        <v>0</v>
      </c>
      <c r="BM804" s="536">
        <f t="shared" si="3990"/>
        <v>0</v>
      </c>
      <c r="BN804" s="536">
        <f t="shared" si="3990"/>
        <v>1684301.1500000001</v>
      </c>
      <c r="BO804" s="536">
        <f t="shared" si="3990"/>
        <v>962244.11</v>
      </c>
      <c r="BP804" s="536">
        <f t="shared" si="3990"/>
        <v>2646545.2599999998</v>
      </c>
      <c r="BQ804" s="536">
        <f t="shared" si="3990"/>
        <v>2746578.5999999996</v>
      </c>
      <c r="BR804" s="536">
        <f t="shared" si="3990"/>
        <v>1614495.0399999998</v>
      </c>
      <c r="BS804" s="536">
        <f t="shared" si="3990"/>
        <v>4361073.6399999997</v>
      </c>
      <c r="BT804" s="536">
        <f t="shared" si="3990"/>
        <v>327915.17000000004</v>
      </c>
      <c r="BU804" s="536">
        <f t="shared" si="3990"/>
        <v>2646545.2599999998</v>
      </c>
      <c r="BV804" s="536">
        <f t="shared" si="3990"/>
        <v>4361073.6399999997</v>
      </c>
      <c r="BW804" s="536">
        <f t="shared" si="3990"/>
        <v>7335534.0699999994</v>
      </c>
      <c r="BX804" s="6"/>
      <c r="BY804" s="6"/>
      <c r="BZ804" s="6"/>
      <c r="CA804" s="6"/>
      <c r="CB804" s="6"/>
      <c r="CC804" s="6"/>
      <c r="CD804" s="6"/>
      <c r="CE804" s="6"/>
      <c r="CF804" s="6"/>
      <c r="CG804" s="6"/>
    </row>
    <row r="805" spans="1:85" ht="15.75">
      <c r="A805" s="317"/>
      <c r="B805" s="318"/>
      <c r="C805" s="319"/>
      <c r="D805" s="44" t="s">
        <v>67</v>
      </c>
      <c r="E805" s="269">
        <f t="shared" ref="E805:H805" si="3991">E6+E13+E18+E113+E142+E159+E176+E187+E197+E238+E274+E312+E330+E340+E350+E360+E532+E544+E567+E581+E606+E632+E763</f>
        <v>159398.37</v>
      </c>
      <c r="F805" s="269">
        <f t="shared" si="3991"/>
        <v>0</v>
      </c>
      <c r="G805" s="269">
        <f t="shared" si="3991"/>
        <v>159398.37</v>
      </c>
      <c r="H805" s="269">
        <f t="shared" si="3991"/>
        <v>23000</v>
      </c>
      <c r="I805" s="47">
        <f t="shared" ref="I805:I816" si="3992">IF(G805&gt;0,K805/G805,0)</f>
        <v>0.18758033723933312</v>
      </c>
      <c r="J805" s="47">
        <f t="shared" ref="J805:J816" si="3993">IF(G805&gt;0,O805/G805,0)</f>
        <v>0.12834842664953225</v>
      </c>
      <c r="K805" s="269">
        <f t="shared" ref="K805:W805" si="3994">K6+K13+K18+K113+K142+K159+K176+K187+K197+K238+K274+K312+K330+K340+K350+K360+K532+K544+K567+K581+K606+K632+K763</f>
        <v>29900</v>
      </c>
      <c r="L805" s="269">
        <f t="shared" si="3994"/>
        <v>0</v>
      </c>
      <c r="M805" s="269">
        <f t="shared" si="3994"/>
        <v>0</v>
      </c>
      <c r="N805" s="269">
        <f t="shared" si="3994"/>
        <v>0</v>
      </c>
      <c r="O805" s="269">
        <f t="shared" si="3994"/>
        <v>20458.530000000002</v>
      </c>
      <c r="P805" s="269">
        <f t="shared" si="3994"/>
        <v>0</v>
      </c>
      <c r="Q805" s="269">
        <f t="shared" si="3994"/>
        <v>0</v>
      </c>
      <c r="R805" s="269">
        <f t="shared" si="3994"/>
        <v>20458.530000000002</v>
      </c>
      <c r="S805" s="269">
        <f t="shared" si="3994"/>
        <v>0</v>
      </c>
      <c r="T805" s="269">
        <f t="shared" si="3994"/>
        <v>0</v>
      </c>
      <c r="U805" s="269">
        <f t="shared" si="3994"/>
        <v>9441.4700000000012</v>
      </c>
      <c r="V805" s="269">
        <f t="shared" si="3994"/>
        <v>0</v>
      </c>
      <c r="W805" s="269">
        <f t="shared" si="3994"/>
        <v>0</v>
      </c>
      <c r="X805" s="271">
        <f t="shared" ref="X805:Y805" si="3995">IF(O805&gt;0,O805/K805,0)</f>
        <v>0.68423177257525092</v>
      </c>
      <c r="Y805" s="271">
        <f t="shared" si="3995"/>
        <v>0</v>
      </c>
      <c r="Z805" s="271">
        <f t="shared" si="3985"/>
        <v>0</v>
      </c>
      <c r="AA805" s="269">
        <f t="shared" ref="AA805:BW805" si="3996">AA6+AA13+AA18+AA113+AA142+AA159+AA176+AA187+AA197+AA238+AA274+AA312+AA330+AA340+AA350+AA360+AA532+AA544+AA567+AA581+AA606+AA632+AA763</f>
        <v>0</v>
      </c>
      <c r="AB805" s="269">
        <f t="shared" si="3996"/>
        <v>0</v>
      </c>
      <c r="AC805" s="269">
        <f t="shared" si="3996"/>
        <v>0</v>
      </c>
      <c r="AD805" s="269">
        <f t="shared" si="3996"/>
        <v>0</v>
      </c>
      <c r="AE805" s="269">
        <f t="shared" si="3996"/>
        <v>0</v>
      </c>
      <c r="AF805" s="269">
        <f t="shared" si="3996"/>
        <v>0</v>
      </c>
      <c r="AG805" s="269">
        <f t="shared" si="3996"/>
        <v>2204.9499999999998</v>
      </c>
      <c r="AH805" s="269">
        <f t="shared" si="3996"/>
        <v>0</v>
      </c>
      <c r="AI805" s="269">
        <f t="shared" si="3996"/>
        <v>0</v>
      </c>
      <c r="AJ805" s="269">
        <f t="shared" si="3996"/>
        <v>969.56999999999994</v>
      </c>
      <c r="AK805" s="269">
        <f t="shared" si="3996"/>
        <v>0</v>
      </c>
      <c r="AL805" s="269">
        <f t="shared" si="3996"/>
        <v>0</v>
      </c>
      <c r="AM805" s="269">
        <f t="shared" si="3996"/>
        <v>8527.99</v>
      </c>
      <c r="AN805" s="269">
        <f t="shared" si="3996"/>
        <v>0</v>
      </c>
      <c r="AO805" s="269">
        <f t="shared" si="3996"/>
        <v>0</v>
      </c>
      <c r="AP805" s="269">
        <f t="shared" si="3996"/>
        <v>8756.02</v>
      </c>
      <c r="AQ805" s="269">
        <f t="shared" si="3996"/>
        <v>0</v>
      </c>
      <c r="AR805" s="269">
        <f t="shared" si="3996"/>
        <v>0</v>
      </c>
      <c r="AS805" s="269">
        <f t="shared" si="3996"/>
        <v>0</v>
      </c>
      <c r="AT805" s="269">
        <f t="shared" si="3996"/>
        <v>0</v>
      </c>
      <c r="AU805" s="269">
        <f t="shared" si="3996"/>
        <v>0</v>
      </c>
      <c r="AV805" s="269">
        <f t="shared" si="3996"/>
        <v>0</v>
      </c>
      <c r="AW805" s="269">
        <f t="shared" si="3996"/>
        <v>0</v>
      </c>
      <c r="AX805" s="269">
        <f t="shared" si="3996"/>
        <v>0</v>
      </c>
      <c r="AY805" s="269">
        <f t="shared" si="3996"/>
        <v>0</v>
      </c>
      <c r="AZ805" s="269">
        <f t="shared" si="3996"/>
        <v>0</v>
      </c>
      <c r="BA805" s="269">
        <f t="shared" si="3996"/>
        <v>0</v>
      </c>
      <c r="BB805" s="269">
        <f t="shared" si="3996"/>
        <v>0</v>
      </c>
      <c r="BC805" s="269">
        <f t="shared" si="3996"/>
        <v>0</v>
      </c>
      <c r="BD805" s="269">
        <f t="shared" si="3996"/>
        <v>0</v>
      </c>
      <c r="BE805" s="269">
        <f t="shared" si="3996"/>
        <v>0</v>
      </c>
      <c r="BF805" s="269">
        <f t="shared" si="3996"/>
        <v>0</v>
      </c>
      <c r="BG805" s="269">
        <f t="shared" si="3996"/>
        <v>0</v>
      </c>
      <c r="BH805" s="269">
        <f t="shared" si="3996"/>
        <v>0</v>
      </c>
      <c r="BI805" s="269">
        <f t="shared" si="3996"/>
        <v>0</v>
      </c>
      <c r="BJ805" s="269">
        <f t="shared" si="3996"/>
        <v>0</v>
      </c>
      <c r="BK805" s="269">
        <f t="shared" si="3996"/>
        <v>0</v>
      </c>
      <c r="BL805" s="269">
        <f t="shared" si="3996"/>
        <v>0</v>
      </c>
      <c r="BM805" s="269">
        <f t="shared" si="3996"/>
        <v>0</v>
      </c>
      <c r="BN805" s="269">
        <f t="shared" si="3996"/>
        <v>20458.530000000002</v>
      </c>
      <c r="BO805" s="269">
        <f t="shared" si="3996"/>
        <v>0</v>
      </c>
      <c r="BP805" s="269">
        <f t="shared" si="3996"/>
        <v>20458.530000000002</v>
      </c>
      <c r="BQ805" s="269">
        <f t="shared" si="3996"/>
        <v>9441.4700000000012</v>
      </c>
      <c r="BR805" s="269">
        <f t="shared" si="3996"/>
        <v>0</v>
      </c>
      <c r="BS805" s="269">
        <f t="shared" si="3996"/>
        <v>9441.4700000000012</v>
      </c>
      <c r="BT805" s="269">
        <f t="shared" si="3996"/>
        <v>0</v>
      </c>
      <c r="BU805" s="269">
        <f t="shared" si="3996"/>
        <v>20458.530000000002</v>
      </c>
      <c r="BV805" s="269">
        <f t="shared" si="3996"/>
        <v>9441.4700000000012</v>
      </c>
      <c r="BW805" s="269">
        <f t="shared" si="3996"/>
        <v>29900</v>
      </c>
      <c r="BX805" s="51"/>
      <c r="BY805" s="51"/>
      <c r="BZ805" s="51"/>
      <c r="CA805" s="51"/>
      <c r="CB805" s="51"/>
      <c r="CC805" s="51"/>
      <c r="CD805" s="51"/>
      <c r="CE805" s="51"/>
      <c r="CF805" s="51"/>
      <c r="CG805" s="51"/>
    </row>
    <row r="806" spans="1:85" ht="15.75">
      <c r="A806" s="41"/>
      <c r="B806" s="42"/>
      <c r="C806" s="43"/>
      <c r="D806" s="44" t="s">
        <v>467</v>
      </c>
      <c r="E806" s="45">
        <f t="shared" ref="E806:H806" si="3997">E182+E184+E315+E374+E407+E421+E516+E535+E550+E560+E570+E588+E635+E764+E765+E766</f>
        <v>226573.85</v>
      </c>
      <c r="F806" s="45">
        <f t="shared" si="3997"/>
        <v>0</v>
      </c>
      <c r="G806" s="45">
        <f t="shared" si="3997"/>
        <v>226573.85</v>
      </c>
      <c r="H806" s="45">
        <f t="shared" si="3997"/>
        <v>788100</v>
      </c>
      <c r="I806" s="47">
        <f t="shared" si="3992"/>
        <v>0.78276464825927616</v>
      </c>
      <c r="J806" s="47">
        <f t="shared" si="3993"/>
        <v>0.19596259674273972</v>
      </c>
      <c r="K806" s="45">
        <f t="shared" ref="K806:W806" si="3998">K182+K184+K315+K374+K407+K421+K516+K535+K550+K560+K570+K588+K635+K764+K765+K766</f>
        <v>177354</v>
      </c>
      <c r="L806" s="45">
        <f t="shared" si="3998"/>
        <v>0</v>
      </c>
      <c r="M806" s="45">
        <f t="shared" si="3998"/>
        <v>0</v>
      </c>
      <c r="N806" s="45">
        <f t="shared" si="3998"/>
        <v>732293</v>
      </c>
      <c r="O806" s="45">
        <f t="shared" si="3998"/>
        <v>44400</v>
      </c>
      <c r="P806" s="45">
        <f t="shared" si="3998"/>
        <v>0</v>
      </c>
      <c r="Q806" s="45">
        <f t="shared" si="3998"/>
        <v>195346</v>
      </c>
      <c r="R806" s="45">
        <f t="shared" si="3998"/>
        <v>44400</v>
      </c>
      <c r="S806" s="45">
        <f t="shared" si="3998"/>
        <v>0</v>
      </c>
      <c r="T806" s="45">
        <f t="shared" si="3998"/>
        <v>195346</v>
      </c>
      <c r="U806" s="45">
        <f t="shared" si="3998"/>
        <v>132954</v>
      </c>
      <c r="V806" s="45">
        <f t="shared" si="3998"/>
        <v>0</v>
      </c>
      <c r="W806" s="45">
        <f t="shared" si="3998"/>
        <v>536947</v>
      </c>
      <c r="X806" s="50">
        <f t="shared" ref="X806:Y806" si="3999">IF(O806&gt;0,O806/K806,0)</f>
        <v>0.25034676409892082</v>
      </c>
      <c r="Y806" s="50">
        <f t="shared" si="3999"/>
        <v>0</v>
      </c>
      <c r="Z806" s="50">
        <f t="shared" si="3985"/>
        <v>0.26675934359607423</v>
      </c>
      <c r="AA806" s="45">
        <f t="shared" ref="AA806:BW806" si="4000">AA182+AA184+AA315+AA374+AA407+AA421+AA516+AA535+AA550+AA560+AA570+AA588+AA635+AA764+AA765+AA766</f>
        <v>1200</v>
      </c>
      <c r="AB806" s="45">
        <f t="shared" si="4000"/>
        <v>0</v>
      </c>
      <c r="AC806" s="45">
        <f t="shared" si="4000"/>
        <v>0</v>
      </c>
      <c r="AD806" s="45">
        <f t="shared" si="4000"/>
        <v>0</v>
      </c>
      <c r="AE806" s="45">
        <f t="shared" si="4000"/>
        <v>0</v>
      </c>
      <c r="AF806" s="45">
        <f t="shared" si="4000"/>
        <v>0</v>
      </c>
      <c r="AG806" s="45">
        <f t="shared" si="4000"/>
        <v>4000</v>
      </c>
      <c r="AH806" s="45">
        <f t="shared" si="4000"/>
        <v>0</v>
      </c>
      <c r="AI806" s="45">
        <f t="shared" si="4000"/>
        <v>40380</v>
      </c>
      <c r="AJ806" s="45">
        <f t="shared" si="4000"/>
        <v>2000</v>
      </c>
      <c r="AK806" s="45">
        <f t="shared" si="4000"/>
        <v>0</v>
      </c>
      <c r="AL806" s="45">
        <f t="shared" si="4000"/>
        <v>42984</v>
      </c>
      <c r="AM806" s="45">
        <f t="shared" si="4000"/>
        <v>2000</v>
      </c>
      <c r="AN806" s="45">
        <f t="shared" si="4000"/>
        <v>0</v>
      </c>
      <c r="AO806" s="45">
        <f t="shared" si="4000"/>
        <v>40516</v>
      </c>
      <c r="AP806" s="45">
        <f t="shared" si="4000"/>
        <v>35200</v>
      </c>
      <c r="AQ806" s="45">
        <f t="shared" si="4000"/>
        <v>0</v>
      </c>
      <c r="AR806" s="45">
        <f t="shared" si="4000"/>
        <v>71466</v>
      </c>
      <c r="AS806" s="45">
        <f t="shared" si="4000"/>
        <v>0</v>
      </c>
      <c r="AT806" s="45">
        <f t="shared" si="4000"/>
        <v>0</v>
      </c>
      <c r="AU806" s="45">
        <f t="shared" si="4000"/>
        <v>0</v>
      </c>
      <c r="AV806" s="45">
        <f t="shared" si="4000"/>
        <v>0</v>
      </c>
      <c r="AW806" s="45">
        <f t="shared" si="4000"/>
        <v>0</v>
      </c>
      <c r="AX806" s="45">
        <f t="shared" si="4000"/>
        <v>0</v>
      </c>
      <c r="AY806" s="45">
        <f t="shared" si="4000"/>
        <v>0</v>
      </c>
      <c r="AZ806" s="45">
        <f t="shared" si="4000"/>
        <v>0</v>
      </c>
      <c r="BA806" s="45">
        <f t="shared" si="4000"/>
        <v>0</v>
      </c>
      <c r="BB806" s="45">
        <f t="shared" si="4000"/>
        <v>0</v>
      </c>
      <c r="BC806" s="45">
        <f t="shared" si="4000"/>
        <v>0</v>
      </c>
      <c r="BD806" s="45">
        <f t="shared" si="4000"/>
        <v>0</v>
      </c>
      <c r="BE806" s="45">
        <f t="shared" si="4000"/>
        <v>0</v>
      </c>
      <c r="BF806" s="45">
        <f t="shared" si="4000"/>
        <v>0</v>
      </c>
      <c r="BG806" s="45">
        <f t="shared" si="4000"/>
        <v>0</v>
      </c>
      <c r="BH806" s="45">
        <f t="shared" si="4000"/>
        <v>0</v>
      </c>
      <c r="BI806" s="45">
        <f t="shared" si="4000"/>
        <v>0</v>
      </c>
      <c r="BJ806" s="45">
        <f t="shared" si="4000"/>
        <v>0</v>
      </c>
      <c r="BK806" s="45">
        <f t="shared" si="4000"/>
        <v>0</v>
      </c>
      <c r="BL806" s="45">
        <f t="shared" si="4000"/>
        <v>0</v>
      </c>
      <c r="BM806" s="45">
        <f t="shared" si="4000"/>
        <v>0</v>
      </c>
      <c r="BN806" s="45">
        <f t="shared" si="4000"/>
        <v>44400</v>
      </c>
      <c r="BO806" s="45">
        <f t="shared" si="4000"/>
        <v>195346</v>
      </c>
      <c r="BP806" s="45">
        <f t="shared" si="4000"/>
        <v>239746</v>
      </c>
      <c r="BQ806" s="45">
        <f t="shared" si="4000"/>
        <v>132954</v>
      </c>
      <c r="BR806" s="45">
        <f t="shared" si="4000"/>
        <v>536947</v>
      </c>
      <c r="BS806" s="45">
        <f t="shared" si="4000"/>
        <v>669901</v>
      </c>
      <c r="BT806" s="45">
        <f t="shared" si="4000"/>
        <v>0</v>
      </c>
      <c r="BU806" s="45">
        <f t="shared" si="4000"/>
        <v>239746</v>
      </c>
      <c r="BV806" s="45">
        <f t="shared" si="4000"/>
        <v>669901</v>
      </c>
      <c r="BW806" s="45">
        <f t="shared" si="4000"/>
        <v>909647</v>
      </c>
      <c r="BX806" s="6"/>
      <c r="BY806" s="6"/>
      <c r="BZ806" s="6"/>
      <c r="CA806" s="6"/>
      <c r="CB806" s="6"/>
      <c r="CC806" s="6"/>
      <c r="CD806" s="6"/>
      <c r="CE806" s="6"/>
      <c r="CF806" s="6"/>
      <c r="CG806" s="6"/>
    </row>
    <row r="807" spans="1:85" ht="15.75" customHeight="1">
      <c r="A807" s="260"/>
      <c r="B807" s="261"/>
      <c r="C807" s="262"/>
      <c r="D807" s="78" t="s">
        <v>83</v>
      </c>
      <c r="E807" s="269">
        <f t="shared" ref="E807:H807" si="4001">E21+E115+E144+E190+E207+E240+E282+E333+E343+E353+E386+E423+E458+E490+E552+E590+E609+E625+E637+E712+E745+E767</f>
        <v>877029.10000000009</v>
      </c>
      <c r="F807" s="269">
        <f t="shared" si="4001"/>
        <v>0</v>
      </c>
      <c r="G807" s="269">
        <f t="shared" si="4001"/>
        <v>877029.10000000009</v>
      </c>
      <c r="H807" s="269">
        <f t="shared" si="4001"/>
        <v>1104417.5900000001</v>
      </c>
      <c r="I807" s="47">
        <f t="shared" si="3992"/>
        <v>0.70571860158345945</v>
      </c>
      <c r="J807" s="47">
        <f t="shared" si="3993"/>
        <v>0.4231288904780926</v>
      </c>
      <c r="K807" s="269">
        <f t="shared" ref="K807:W807" si="4002">K21+K115+K144+K190+K207+K240+K282+K333+K343+K353+K386+K423+K458+K490+K552+K590+K609+K625+K637+K712+K745+K767</f>
        <v>618935.75000000012</v>
      </c>
      <c r="L807" s="269">
        <f t="shared" si="4002"/>
        <v>446716.57</v>
      </c>
      <c r="M807" s="269">
        <f t="shared" si="4002"/>
        <v>0</v>
      </c>
      <c r="N807" s="269">
        <f t="shared" si="4002"/>
        <v>245566.49</v>
      </c>
      <c r="O807" s="269">
        <f t="shared" si="4002"/>
        <v>371096.35000000015</v>
      </c>
      <c r="P807" s="269">
        <f t="shared" si="4002"/>
        <v>401758.26</v>
      </c>
      <c r="Q807" s="269">
        <f t="shared" si="4002"/>
        <v>103915.99</v>
      </c>
      <c r="R807" s="269">
        <f t="shared" si="4002"/>
        <v>371096.35000000015</v>
      </c>
      <c r="S807" s="269">
        <f t="shared" si="4002"/>
        <v>401758.26</v>
      </c>
      <c r="T807" s="269">
        <f t="shared" si="4002"/>
        <v>103915.99</v>
      </c>
      <c r="U807" s="269">
        <f t="shared" si="4002"/>
        <v>247839.40000000002</v>
      </c>
      <c r="V807" s="269">
        <f t="shared" si="4002"/>
        <v>44958.31</v>
      </c>
      <c r="W807" s="269">
        <f t="shared" si="4002"/>
        <v>141650.49999999997</v>
      </c>
      <c r="X807" s="271">
        <f t="shared" ref="X807:Y807" si="4003">IF(O807&gt;0,O807/K807,0)</f>
        <v>0.59957168413684314</v>
      </c>
      <c r="Y807" s="271">
        <f t="shared" si="4003"/>
        <v>0.89935831124419674</v>
      </c>
      <c r="Z807" s="271">
        <f t="shared" si="3985"/>
        <v>0.42316844615077576</v>
      </c>
      <c r="AA807" s="269">
        <f t="shared" ref="AA807:BW807" si="4004">AA21+AA115+AA144+AA190+AA207+AA240+AA282+AA333+AA343+AA353+AA386+AA423+AA458+AA490+AA552+AA590+AA609+AA625+AA637+AA712+AA745+AA767</f>
        <v>0</v>
      </c>
      <c r="AB807" s="269">
        <f t="shared" si="4004"/>
        <v>9896.39</v>
      </c>
      <c r="AC807" s="269">
        <f t="shared" si="4004"/>
        <v>0</v>
      </c>
      <c r="AD807" s="269">
        <f t="shared" si="4004"/>
        <v>35894.11</v>
      </c>
      <c r="AE807" s="269">
        <f t="shared" si="4004"/>
        <v>134573.54999999999</v>
      </c>
      <c r="AF807" s="269">
        <f t="shared" si="4004"/>
        <v>4699.03</v>
      </c>
      <c r="AG807" s="269">
        <f t="shared" si="4004"/>
        <v>50199.5</v>
      </c>
      <c r="AH807" s="269">
        <f t="shared" si="4004"/>
        <v>94439</v>
      </c>
      <c r="AI807" s="269">
        <f t="shared" si="4004"/>
        <v>21431.579999999998</v>
      </c>
      <c r="AJ807" s="269">
        <f t="shared" si="4004"/>
        <v>25220.799999999999</v>
      </c>
      <c r="AK807" s="269">
        <f t="shared" si="4004"/>
        <v>81291.320000000007</v>
      </c>
      <c r="AL807" s="269">
        <f t="shared" si="4004"/>
        <v>4661.26</v>
      </c>
      <c r="AM807" s="269">
        <f t="shared" si="4004"/>
        <v>146655.58000000002</v>
      </c>
      <c r="AN807" s="269">
        <f t="shared" si="4004"/>
        <v>55261.3</v>
      </c>
      <c r="AO807" s="269">
        <f t="shared" si="4004"/>
        <v>37990.719999999994</v>
      </c>
      <c r="AP807" s="269">
        <f t="shared" si="4004"/>
        <v>113076.25999999998</v>
      </c>
      <c r="AQ807" s="269">
        <f t="shared" si="4004"/>
        <v>26296.699999999997</v>
      </c>
      <c r="AR807" s="269">
        <f t="shared" si="4004"/>
        <v>35133.400000000009</v>
      </c>
      <c r="AS807" s="269">
        <f t="shared" si="4004"/>
        <v>0</v>
      </c>
      <c r="AT807" s="269">
        <f t="shared" si="4004"/>
        <v>0</v>
      </c>
      <c r="AU807" s="269">
        <f t="shared" si="4004"/>
        <v>0</v>
      </c>
      <c r="AV807" s="269">
        <f t="shared" si="4004"/>
        <v>0</v>
      </c>
      <c r="AW807" s="269">
        <f t="shared" si="4004"/>
        <v>0</v>
      </c>
      <c r="AX807" s="269">
        <f t="shared" si="4004"/>
        <v>0</v>
      </c>
      <c r="AY807" s="269">
        <f t="shared" si="4004"/>
        <v>0</v>
      </c>
      <c r="AZ807" s="269">
        <f t="shared" si="4004"/>
        <v>0</v>
      </c>
      <c r="BA807" s="269">
        <f t="shared" si="4004"/>
        <v>0</v>
      </c>
      <c r="BB807" s="269">
        <f t="shared" si="4004"/>
        <v>0</v>
      </c>
      <c r="BC807" s="269">
        <f t="shared" si="4004"/>
        <v>0</v>
      </c>
      <c r="BD807" s="269">
        <f t="shared" si="4004"/>
        <v>0</v>
      </c>
      <c r="BE807" s="269">
        <f t="shared" si="4004"/>
        <v>0</v>
      </c>
      <c r="BF807" s="269">
        <f t="shared" si="4004"/>
        <v>0</v>
      </c>
      <c r="BG807" s="269">
        <f t="shared" si="4004"/>
        <v>0</v>
      </c>
      <c r="BH807" s="269">
        <f t="shared" si="4004"/>
        <v>0</v>
      </c>
      <c r="BI807" s="269">
        <f t="shared" si="4004"/>
        <v>0</v>
      </c>
      <c r="BJ807" s="269">
        <f t="shared" si="4004"/>
        <v>0</v>
      </c>
      <c r="BK807" s="269">
        <f t="shared" si="4004"/>
        <v>0</v>
      </c>
      <c r="BL807" s="269">
        <f t="shared" si="4004"/>
        <v>0</v>
      </c>
      <c r="BM807" s="269">
        <f t="shared" si="4004"/>
        <v>0</v>
      </c>
      <c r="BN807" s="269">
        <f t="shared" si="4004"/>
        <v>370387.17000000016</v>
      </c>
      <c r="BO807" s="269">
        <f t="shared" si="4004"/>
        <v>103915.99</v>
      </c>
      <c r="BP807" s="269">
        <f t="shared" si="4004"/>
        <v>474303.16000000015</v>
      </c>
      <c r="BQ807" s="269">
        <f t="shared" si="4004"/>
        <v>246195.65000000002</v>
      </c>
      <c r="BR807" s="269">
        <f t="shared" si="4004"/>
        <v>123130.50000000001</v>
      </c>
      <c r="BS807" s="269">
        <f t="shared" si="4004"/>
        <v>369326.15</v>
      </c>
      <c r="BT807" s="269">
        <f t="shared" si="4004"/>
        <v>44958.31</v>
      </c>
      <c r="BU807" s="269">
        <f t="shared" si="4004"/>
        <v>474303.16000000015</v>
      </c>
      <c r="BV807" s="269">
        <f t="shared" si="4004"/>
        <v>369326.15</v>
      </c>
      <c r="BW807" s="269">
        <f t="shared" si="4004"/>
        <v>888587.62000000023</v>
      </c>
      <c r="BX807" s="6"/>
      <c r="BY807" s="6"/>
      <c r="BZ807" s="6"/>
      <c r="CA807" s="6"/>
      <c r="CB807" s="6"/>
      <c r="CC807" s="6"/>
      <c r="CD807" s="6"/>
      <c r="CE807" s="6"/>
      <c r="CF807" s="6"/>
      <c r="CG807" s="6"/>
    </row>
    <row r="808" spans="1:85" ht="15.75">
      <c r="A808" s="260"/>
      <c r="B808" s="261"/>
      <c r="C808" s="262"/>
      <c r="D808" s="78" t="s">
        <v>339</v>
      </c>
      <c r="E808" s="45">
        <f t="shared" ref="E808:H808" si="4005">E192+E199+E260+E290+E335+E345+E355+E364+E539+E593+E768</f>
        <v>81403.95</v>
      </c>
      <c r="F808" s="45">
        <f t="shared" si="4005"/>
        <v>0</v>
      </c>
      <c r="G808" s="45">
        <f t="shared" si="4005"/>
        <v>81403.95</v>
      </c>
      <c r="H808" s="45">
        <f t="shared" si="4005"/>
        <v>40000</v>
      </c>
      <c r="I808" s="47">
        <f t="shared" si="3992"/>
        <v>4.3339420261547509E-2</v>
      </c>
      <c r="J808" s="47">
        <f t="shared" si="3993"/>
        <v>0</v>
      </c>
      <c r="K808" s="45">
        <f t="shared" ref="K808:W808" si="4006">K192+K199+K260+K290+K335+K345+K355+K364+K539+K593+K768</f>
        <v>3528</v>
      </c>
      <c r="L808" s="45">
        <f t="shared" si="4006"/>
        <v>0</v>
      </c>
      <c r="M808" s="45">
        <f t="shared" si="4006"/>
        <v>0</v>
      </c>
      <c r="N808" s="45">
        <f t="shared" si="4006"/>
        <v>0</v>
      </c>
      <c r="O808" s="45">
        <f t="shared" si="4006"/>
        <v>0</v>
      </c>
      <c r="P808" s="45">
        <f t="shared" si="4006"/>
        <v>0</v>
      </c>
      <c r="Q808" s="45">
        <f t="shared" si="4006"/>
        <v>0</v>
      </c>
      <c r="R808" s="45">
        <f t="shared" si="4006"/>
        <v>0</v>
      </c>
      <c r="S808" s="45">
        <f t="shared" si="4006"/>
        <v>0</v>
      </c>
      <c r="T808" s="45">
        <f t="shared" si="4006"/>
        <v>0</v>
      </c>
      <c r="U808" s="45">
        <f t="shared" si="4006"/>
        <v>3528</v>
      </c>
      <c r="V808" s="45">
        <f t="shared" si="4006"/>
        <v>0</v>
      </c>
      <c r="W808" s="45">
        <f t="shared" si="4006"/>
        <v>0</v>
      </c>
      <c r="X808" s="50">
        <f t="shared" ref="X808:Y808" si="4007">IF(O808&gt;0,O808/K808,0)</f>
        <v>0</v>
      </c>
      <c r="Y808" s="50">
        <f t="shared" si="4007"/>
        <v>0</v>
      </c>
      <c r="Z808" s="50">
        <f t="shared" si="3985"/>
        <v>0</v>
      </c>
      <c r="AA808" s="45">
        <f t="shared" ref="AA808:BW808" si="4008">AA192+AA199+AA260+AA290+AA335+AA345+AA355+AA364+AA539+AA593+AA768</f>
        <v>0</v>
      </c>
      <c r="AB808" s="45">
        <f t="shared" si="4008"/>
        <v>0</v>
      </c>
      <c r="AC808" s="45">
        <f t="shared" si="4008"/>
        <v>0</v>
      </c>
      <c r="AD808" s="45">
        <f t="shared" si="4008"/>
        <v>0</v>
      </c>
      <c r="AE808" s="45">
        <f t="shared" si="4008"/>
        <v>0</v>
      </c>
      <c r="AF808" s="45">
        <f t="shared" si="4008"/>
        <v>0</v>
      </c>
      <c r="AG808" s="45">
        <f t="shared" si="4008"/>
        <v>0</v>
      </c>
      <c r="AH808" s="45">
        <f t="shared" si="4008"/>
        <v>0</v>
      </c>
      <c r="AI808" s="45">
        <f t="shared" si="4008"/>
        <v>0</v>
      </c>
      <c r="AJ808" s="45">
        <f t="shared" si="4008"/>
        <v>0</v>
      </c>
      <c r="AK808" s="45">
        <f t="shared" si="4008"/>
        <v>0</v>
      </c>
      <c r="AL808" s="45">
        <f t="shared" si="4008"/>
        <v>0</v>
      </c>
      <c r="AM808" s="45">
        <f t="shared" si="4008"/>
        <v>0</v>
      </c>
      <c r="AN808" s="45">
        <f t="shared" si="4008"/>
        <v>0</v>
      </c>
      <c r="AO808" s="45">
        <f t="shared" si="4008"/>
        <v>0</v>
      </c>
      <c r="AP808" s="45">
        <f t="shared" si="4008"/>
        <v>0</v>
      </c>
      <c r="AQ808" s="45">
        <f t="shared" si="4008"/>
        <v>0</v>
      </c>
      <c r="AR808" s="45">
        <f t="shared" si="4008"/>
        <v>0</v>
      </c>
      <c r="AS808" s="45">
        <f t="shared" si="4008"/>
        <v>0</v>
      </c>
      <c r="AT808" s="45">
        <f t="shared" si="4008"/>
        <v>0</v>
      </c>
      <c r="AU808" s="45">
        <f t="shared" si="4008"/>
        <v>0</v>
      </c>
      <c r="AV808" s="45">
        <f t="shared" si="4008"/>
        <v>0</v>
      </c>
      <c r="AW808" s="45">
        <f t="shared" si="4008"/>
        <v>0</v>
      </c>
      <c r="AX808" s="45">
        <f t="shared" si="4008"/>
        <v>0</v>
      </c>
      <c r="AY808" s="45">
        <f t="shared" si="4008"/>
        <v>0</v>
      </c>
      <c r="AZ808" s="45">
        <f t="shared" si="4008"/>
        <v>0</v>
      </c>
      <c r="BA808" s="45">
        <f t="shared" si="4008"/>
        <v>0</v>
      </c>
      <c r="BB808" s="45">
        <f t="shared" si="4008"/>
        <v>0</v>
      </c>
      <c r="BC808" s="45">
        <f t="shared" si="4008"/>
        <v>0</v>
      </c>
      <c r="BD808" s="45">
        <f t="shared" si="4008"/>
        <v>0</v>
      </c>
      <c r="BE808" s="45">
        <f t="shared" si="4008"/>
        <v>0</v>
      </c>
      <c r="BF808" s="45">
        <f t="shared" si="4008"/>
        <v>0</v>
      </c>
      <c r="BG808" s="45">
        <f t="shared" si="4008"/>
        <v>0</v>
      </c>
      <c r="BH808" s="45">
        <f t="shared" si="4008"/>
        <v>0</v>
      </c>
      <c r="BI808" s="45">
        <f t="shared" si="4008"/>
        <v>0</v>
      </c>
      <c r="BJ808" s="45">
        <f t="shared" si="4008"/>
        <v>0</v>
      </c>
      <c r="BK808" s="45">
        <f t="shared" si="4008"/>
        <v>0</v>
      </c>
      <c r="BL808" s="45">
        <f t="shared" si="4008"/>
        <v>0</v>
      </c>
      <c r="BM808" s="45">
        <f t="shared" si="4008"/>
        <v>0</v>
      </c>
      <c r="BN808" s="45">
        <f t="shared" si="4008"/>
        <v>0</v>
      </c>
      <c r="BO808" s="45">
        <f t="shared" si="4008"/>
        <v>0</v>
      </c>
      <c r="BP808" s="45">
        <f t="shared" si="4008"/>
        <v>0</v>
      </c>
      <c r="BQ808" s="45">
        <f t="shared" si="4008"/>
        <v>3528</v>
      </c>
      <c r="BR808" s="45">
        <f t="shared" si="4008"/>
        <v>0</v>
      </c>
      <c r="BS808" s="45">
        <f t="shared" si="4008"/>
        <v>3528</v>
      </c>
      <c r="BT808" s="45">
        <f t="shared" si="4008"/>
        <v>0</v>
      </c>
      <c r="BU808" s="45">
        <f t="shared" si="4008"/>
        <v>0</v>
      </c>
      <c r="BV808" s="45">
        <f t="shared" si="4008"/>
        <v>3528</v>
      </c>
      <c r="BW808" s="45">
        <f t="shared" si="4008"/>
        <v>3528</v>
      </c>
      <c r="BX808" s="88"/>
      <c r="BY808" s="88"/>
      <c r="BZ808" s="88"/>
      <c r="CA808" s="88"/>
      <c r="CB808" s="88"/>
      <c r="CC808" s="88"/>
      <c r="CD808" s="88"/>
      <c r="CE808" s="88"/>
      <c r="CF808" s="88"/>
      <c r="CG808" s="88"/>
    </row>
    <row r="809" spans="1:85" ht="15.75">
      <c r="A809" s="260"/>
      <c r="B809" s="262"/>
      <c r="C809" s="262"/>
      <c r="D809" s="101" t="s">
        <v>1037</v>
      </c>
      <c r="E809" s="269">
        <f t="shared" ref="E809:H809" si="4009">E46+E117+E146+E292+E391+E460+E486+E519+E693+E718+E757</f>
        <v>2302234.44</v>
      </c>
      <c r="F809" s="269">
        <f t="shared" si="4009"/>
        <v>0</v>
      </c>
      <c r="G809" s="269">
        <f t="shared" si="4009"/>
        <v>2302234.44</v>
      </c>
      <c r="H809" s="269">
        <f t="shared" si="4009"/>
        <v>1445315.56</v>
      </c>
      <c r="I809" s="538">
        <f t="shared" si="3992"/>
        <v>1.0409627396591288</v>
      </c>
      <c r="J809" s="538">
        <f t="shared" si="3993"/>
        <v>0.44528751381201648</v>
      </c>
      <c r="K809" s="269">
        <f t="shared" ref="K809:W809" si="4010">K46+K117+K146+K292+K391+K460+K486+K519+K693+K718+K757</f>
        <v>2396540.27</v>
      </c>
      <c r="L809" s="269">
        <f t="shared" si="4010"/>
        <v>284644.53999999998</v>
      </c>
      <c r="M809" s="269">
        <f t="shared" si="4010"/>
        <v>0</v>
      </c>
      <c r="N809" s="269">
        <f t="shared" si="4010"/>
        <v>1283178.55</v>
      </c>
      <c r="O809" s="269">
        <f t="shared" si="4010"/>
        <v>1025156.25</v>
      </c>
      <c r="P809" s="269">
        <f t="shared" si="4010"/>
        <v>270964.13999999996</v>
      </c>
      <c r="Q809" s="269">
        <f t="shared" si="4010"/>
        <v>480407.55999999994</v>
      </c>
      <c r="R809" s="269">
        <f t="shared" si="4010"/>
        <v>1025156.25</v>
      </c>
      <c r="S809" s="269">
        <f t="shared" si="4010"/>
        <v>270964.13999999996</v>
      </c>
      <c r="T809" s="269">
        <f t="shared" si="4010"/>
        <v>480407.55999999994</v>
      </c>
      <c r="U809" s="269">
        <f t="shared" si="4010"/>
        <v>1371384.02</v>
      </c>
      <c r="V809" s="269">
        <f t="shared" si="4010"/>
        <v>13680.4</v>
      </c>
      <c r="W809" s="269">
        <f t="shared" si="4010"/>
        <v>802770.99</v>
      </c>
      <c r="X809" s="539">
        <f t="shared" ref="X809:Y809" si="4011">IF(O809&gt;0,O809/K809,0)</f>
        <v>0.42776508403925129</v>
      </c>
      <c r="Y809" s="539">
        <f t="shared" si="4011"/>
        <v>0.95193865303019676</v>
      </c>
      <c r="Z809" s="539">
        <f t="shared" si="3985"/>
        <v>0.37438870841474081</v>
      </c>
      <c r="AA809" s="269">
        <f t="shared" ref="AA809:BW809" si="4012">AA46+AA117+AA146+AA292+AA391+AA460+AA486+AA519+AA693+AA718+AA757</f>
        <v>46156.65</v>
      </c>
      <c r="AB809" s="269">
        <f t="shared" si="4012"/>
        <v>0</v>
      </c>
      <c r="AC809" s="269">
        <f t="shared" si="4012"/>
        <v>0</v>
      </c>
      <c r="AD809" s="269">
        <f t="shared" si="4012"/>
        <v>132821.79999999999</v>
      </c>
      <c r="AE809" s="269">
        <f t="shared" si="4012"/>
        <v>62750.03</v>
      </c>
      <c r="AF809" s="269">
        <f t="shared" si="4012"/>
        <v>61461.08</v>
      </c>
      <c r="AG809" s="269">
        <f t="shared" si="4012"/>
        <v>258266.44999999998</v>
      </c>
      <c r="AH809" s="269">
        <f t="shared" si="4012"/>
        <v>23038.579999999998</v>
      </c>
      <c r="AI809" s="269">
        <f t="shared" si="4012"/>
        <v>87335.99</v>
      </c>
      <c r="AJ809" s="269">
        <f t="shared" si="4012"/>
        <v>195034.52000000002</v>
      </c>
      <c r="AK809" s="269">
        <f t="shared" si="4012"/>
        <v>31999</v>
      </c>
      <c r="AL809" s="269">
        <f t="shared" si="4012"/>
        <v>109832.03</v>
      </c>
      <c r="AM809" s="269">
        <f t="shared" si="4012"/>
        <v>194988.81</v>
      </c>
      <c r="AN809" s="269">
        <f t="shared" si="4012"/>
        <v>78891.090000000011</v>
      </c>
      <c r="AO809" s="269">
        <f t="shared" si="4012"/>
        <v>111158.29000000001</v>
      </c>
      <c r="AP809" s="269">
        <f t="shared" si="4012"/>
        <v>197888.02000000002</v>
      </c>
      <c r="AQ809" s="269">
        <f t="shared" si="4012"/>
        <v>74285.439999999988</v>
      </c>
      <c r="AR809" s="269">
        <f t="shared" si="4012"/>
        <v>110620.17</v>
      </c>
      <c r="AS809" s="269">
        <f t="shared" si="4012"/>
        <v>0</v>
      </c>
      <c r="AT809" s="269">
        <f t="shared" si="4012"/>
        <v>0</v>
      </c>
      <c r="AU809" s="269">
        <f t="shared" si="4012"/>
        <v>0</v>
      </c>
      <c r="AV809" s="269">
        <f t="shared" si="4012"/>
        <v>0</v>
      </c>
      <c r="AW809" s="269">
        <f t="shared" si="4012"/>
        <v>0</v>
      </c>
      <c r="AX809" s="269">
        <f t="shared" si="4012"/>
        <v>0</v>
      </c>
      <c r="AY809" s="269">
        <f t="shared" si="4012"/>
        <v>0</v>
      </c>
      <c r="AZ809" s="269">
        <f t="shared" si="4012"/>
        <v>0</v>
      </c>
      <c r="BA809" s="269">
        <f t="shared" si="4012"/>
        <v>0</v>
      </c>
      <c r="BB809" s="269">
        <f t="shared" si="4012"/>
        <v>0</v>
      </c>
      <c r="BC809" s="269">
        <f t="shared" si="4012"/>
        <v>0</v>
      </c>
      <c r="BD809" s="269">
        <f t="shared" si="4012"/>
        <v>0</v>
      </c>
      <c r="BE809" s="269">
        <f t="shared" si="4012"/>
        <v>0</v>
      </c>
      <c r="BF809" s="269">
        <f t="shared" si="4012"/>
        <v>0</v>
      </c>
      <c r="BG809" s="269">
        <f t="shared" si="4012"/>
        <v>0</v>
      </c>
      <c r="BH809" s="269">
        <f t="shared" si="4012"/>
        <v>0</v>
      </c>
      <c r="BI809" s="269">
        <f t="shared" si="4012"/>
        <v>0</v>
      </c>
      <c r="BJ809" s="269">
        <f t="shared" si="4012"/>
        <v>0</v>
      </c>
      <c r="BK809" s="269">
        <f t="shared" si="4012"/>
        <v>0</v>
      </c>
      <c r="BL809" s="269">
        <f t="shared" si="4012"/>
        <v>0</v>
      </c>
      <c r="BM809" s="269">
        <f t="shared" si="4012"/>
        <v>0</v>
      </c>
      <c r="BN809" s="269">
        <f t="shared" si="4012"/>
        <v>1025156.25</v>
      </c>
      <c r="BO809" s="269">
        <f t="shared" si="4012"/>
        <v>471366.26999999996</v>
      </c>
      <c r="BP809" s="269">
        <f t="shared" si="4012"/>
        <v>1496522.52</v>
      </c>
      <c r="BQ809" s="269">
        <f t="shared" si="4012"/>
        <v>1371384.02</v>
      </c>
      <c r="BR809" s="269">
        <f t="shared" si="4012"/>
        <v>759012.27999999991</v>
      </c>
      <c r="BS809" s="269">
        <f t="shared" si="4012"/>
        <v>2130396.2999999998</v>
      </c>
      <c r="BT809" s="269">
        <f t="shared" si="4012"/>
        <v>13680.4</v>
      </c>
      <c r="BU809" s="269">
        <f t="shared" si="4012"/>
        <v>1496522.52</v>
      </c>
      <c r="BV809" s="269">
        <f t="shared" si="4012"/>
        <v>2130396.2999999998</v>
      </c>
      <c r="BW809" s="269">
        <f t="shared" si="4012"/>
        <v>3640599.22</v>
      </c>
      <c r="BX809" s="6"/>
      <c r="BY809" s="6"/>
      <c r="BZ809" s="6"/>
      <c r="CA809" s="6"/>
      <c r="CB809" s="6"/>
      <c r="CC809" s="6"/>
      <c r="CD809" s="6"/>
      <c r="CE809" s="6"/>
      <c r="CF809" s="6"/>
      <c r="CG809" s="6"/>
    </row>
    <row r="810" spans="1:85" ht="15.75">
      <c r="A810" s="260"/>
      <c r="B810" s="261"/>
      <c r="C810" s="262"/>
      <c r="D810" s="78" t="s">
        <v>168</v>
      </c>
      <c r="E810" s="269">
        <f t="shared" ref="E810:H810" si="4013">E59+E121+E149+E162+E180+E201+E244+E262+E295+E317+E320+E366+E379+E394+E401+E418+E471+E522+E556+E563+E577+E596+E615+E627+E697+E720+E769</f>
        <v>775117.46</v>
      </c>
      <c r="F810" s="269">
        <f t="shared" si="4013"/>
        <v>0</v>
      </c>
      <c r="G810" s="269">
        <f t="shared" si="4013"/>
        <v>775117.46</v>
      </c>
      <c r="H810" s="269">
        <f t="shared" si="4013"/>
        <v>1162500</v>
      </c>
      <c r="I810" s="270">
        <f t="shared" si="3992"/>
        <v>0.78393291514811192</v>
      </c>
      <c r="J810" s="270">
        <f t="shared" si="3993"/>
        <v>4.6225471427259551E-2</v>
      </c>
      <c r="K810" s="269">
        <f t="shared" ref="K810:W810" si="4014">K59+K121+K149+K162+K180+K201+K244+K262+K295+K317+K320+K366+K379+K394+K401+K418+K471+K522+K556+K563+K577+K596+K615+K627+K697+K720+K769</f>
        <v>607640.09</v>
      </c>
      <c r="L810" s="269">
        <f t="shared" si="4014"/>
        <v>277292.31000000006</v>
      </c>
      <c r="M810" s="269">
        <f t="shared" si="4014"/>
        <v>0</v>
      </c>
      <c r="N810" s="269">
        <f t="shared" si="4014"/>
        <v>5500</v>
      </c>
      <c r="O810" s="269">
        <f t="shared" si="4014"/>
        <v>35830.17</v>
      </c>
      <c r="P810" s="269">
        <f t="shared" si="4014"/>
        <v>67507.899999999994</v>
      </c>
      <c r="Q810" s="269">
        <f t="shared" si="4014"/>
        <v>5500</v>
      </c>
      <c r="R810" s="269">
        <f t="shared" si="4014"/>
        <v>35830.17</v>
      </c>
      <c r="S810" s="269">
        <f t="shared" si="4014"/>
        <v>67507.899999999994</v>
      </c>
      <c r="T810" s="269">
        <f t="shared" si="4014"/>
        <v>5500</v>
      </c>
      <c r="U810" s="269">
        <f t="shared" si="4014"/>
        <v>571809.92000000004</v>
      </c>
      <c r="V810" s="269">
        <f t="shared" si="4014"/>
        <v>209784.41000000003</v>
      </c>
      <c r="W810" s="269">
        <f t="shared" si="4014"/>
        <v>0</v>
      </c>
      <c r="X810" s="271">
        <f t="shared" ref="X810:Y810" si="4015">IF(O810&gt;0,O810/K810,0)</f>
        <v>5.8966106071111933E-2</v>
      </c>
      <c r="Y810" s="271">
        <f t="shared" si="4015"/>
        <v>0.24345392052163287</v>
      </c>
      <c r="Z810" s="271">
        <f t="shared" si="3985"/>
        <v>1</v>
      </c>
      <c r="AA810" s="269">
        <f t="shared" ref="AA810:BW810" si="4016">AA59+AA121+AA149+AA162+AA180+AA201+AA244+AA262+AA295+AA317+AA320+AA366+AA379+AA394+AA401+AA418+AA471+AA522+AA556+AA563+AA577+AA596+AA615+AA627+AA697+AA720+AA769</f>
        <v>253.8</v>
      </c>
      <c r="AB810" s="269">
        <f t="shared" si="4016"/>
        <v>2457.6799999999998</v>
      </c>
      <c r="AC810" s="269">
        <f t="shared" si="4016"/>
        <v>0</v>
      </c>
      <c r="AD810" s="269">
        <f t="shared" si="4016"/>
        <v>0</v>
      </c>
      <c r="AE810" s="269">
        <f t="shared" si="4016"/>
        <v>27133.040000000001</v>
      </c>
      <c r="AF810" s="269">
        <f t="shared" si="4016"/>
        <v>0</v>
      </c>
      <c r="AG810" s="269">
        <f t="shared" si="4016"/>
        <v>2103.39</v>
      </c>
      <c r="AH810" s="269">
        <f t="shared" si="4016"/>
        <v>1478.76</v>
      </c>
      <c r="AI810" s="269">
        <f t="shared" si="4016"/>
        <v>0</v>
      </c>
      <c r="AJ810" s="269">
        <f t="shared" si="4016"/>
        <v>3159.2200000000003</v>
      </c>
      <c r="AK810" s="269">
        <f t="shared" si="4016"/>
        <v>7478.2000000000007</v>
      </c>
      <c r="AL810" s="269">
        <f t="shared" si="4016"/>
        <v>5500</v>
      </c>
      <c r="AM810" s="269">
        <f t="shared" si="4016"/>
        <v>8992.9</v>
      </c>
      <c r="AN810" s="269">
        <f t="shared" si="4016"/>
        <v>27598.34</v>
      </c>
      <c r="AO810" s="269">
        <f t="shared" si="4016"/>
        <v>0</v>
      </c>
      <c r="AP810" s="269">
        <f t="shared" si="4016"/>
        <v>21320.86</v>
      </c>
      <c r="AQ810" s="269">
        <f t="shared" si="4016"/>
        <v>1361.8799999999999</v>
      </c>
      <c r="AR810" s="269">
        <f t="shared" si="4016"/>
        <v>0</v>
      </c>
      <c r="AS810" s="269">
        <f t="shared" si="4016"/>
        <v>0</v>
      </c>
      <c r="AT810" s="269">
        <f t="shared" si="4016"/>
        <v>0</v>
      </c>
      <c r="AU810" s="269">
        <f t="shared" si="4016"/>
        <v>0</v>
      </c>
      <c r="AV810" s="269">
        <f t="shared" si="4016"/>
        <v>0</v>
      </c>
      <c r="AW810" s="269">
        <f t="shared" si="4016"/>
        <v>0</v>
      </c>
      <c r="AX810" s="269">
        <f t="shared" si="4016"/>
        <v>0</v>
      </c>
      <c r="AY810" s="269">
        <f t="shared" si="4016"/>
        <v>0</v>
      </c>
      <c r="AZ810" s="269">
        <f t="shared" si="4016"/>
        <v>0</v>
      </c>
      <c r="BA810" s="269">
        <f t="shared" si="4016"/>
        <v>0</v>
      </c>
      <c r="BB810" s="269">
        <f t="shared" si="4016"/>
        <v>0</v>
      </c>
      <c r="BC810" s="269">
        <f t="shared" si="4016"/>
        <v>0</v>
      </c>
      <c r="BD810" s="269">
        <f t="shared" si="4016"/>
        <v>0</v>
      </c>
      <c r="BE810" s="269">
        <f t="shared" si="4016"/>
        <v>0</v>
      </c>
      <c r="BF810" s="269">
        <f t="shared" si="4016"/>
        <v>0</v>
      </c>
      <c r="BG810" s="269">
        <f t="shared" si="4016"/>
        <v>0</v>
      </c>
      <c r="BH810" s="269">
        <f t="shared" si="4016"/>
        <v>0</v>
      </c>
      <c r="BI810" s="269">
        <f t="shared" si="4016"/>
        <v>0</v>
      </c>
      <c r="BJ810" s="269">
        <f t="shared" si="4016"/>
        <v>0</v>
      </c>
      <c r="BK810" s="269">
        <f t="shared" si="4016"/>
        <v>0</v>
      </c>
      <c r="BL810" s="269">
        <f t="shared" si="4016"/>
        <v>0</v>
      </c>
      <c r="BM810" s="269">
        <f t="shared" si="4016"/>
        <v>0</v>
      </c>
      <c r="BN810" s="269">
        <f t="shared" si="4016"/>
        <v>35830.17</v>
      </c>
      <c r="BO810" s="269">
        <f t="shared" si="4016"/>
        <v>5500</v>
      </c>
      <c r="BP810" s="269">
        <f t="shared" si="4016"/>
        <v>41330.17</v>
      </c>
      <c r="BQ810" s="269">
        <f t="shared" si="4016"/>
        <v>571809.92000000004</v>
      </c>
      <c r="BR810" s="269">
        <f t="shared" si="4016"/>
        <v>0</v>
      </c>
      <c r="BS810" s="269">
        <f t="shared" si="4016"/>
        <v>571809.92000000004</v>
      </c>
      <c r="BT810" s="269">
        <f t="shared" si="4016"/>
        <v>209784.41000000003</v>
      </c>
      <c r="BU810" s="269">
        <f t="shared" si="4016"/>
        <v>41330.17</v>
      </c>
      <c r="BV810" s="269">
        <f t="shared" si="4016"/>
        <v>571809.92000000004</v>
      </c>
      <c r="BW810" s="269">
        <f t="shared" si="4016"/>
        <v>822924.50000000012</v>
      </c>
      <c r="BX810" s="6"/>
      <c r="BY810" s="6"/>
      <c r="BZ810" s="6"/>
      <c r="CA810" s="6"/>
      <c r="CB810" s="6"/>
      <c r="CC810" s="6"/>
      <c r="CD810" s="6"/>
      <c r="CE810" s="6"/>
      <c r="CF810" s="6"/>
      <c r="CG810" s="6"/>
    </row>
    <row r="811" spans="1:85" ht="15.75">
      <c r="A811" s="260"/>
      <c r="B811" s="261"/>
      <c r="C811" s="262"/>
      <c r="D811" s="78" t="s">
        <v>223</v>
      </c>
      <c r="E811" s="269">
        <f t="shared" ref="E811:H811" si="4017">E86+E126+E151+E398+E404+E477</f>
        <v>383000</v>
      </c>
      <c r="F811" s="269">
        <f t="shared" si="4017"/>
        <v>0</v>
      </c>
      <c r="G811" s="269">
        <f t="shared" si="4017"/>
        <v>383000</v>
      </c>
      <c r="H811" s="269">
        <f t="shared" si="4017"/>
        <v>130827.36</v>
      </c>
      <c r="I811" s="270">
        <f t="shared" si="3992"/>
        <v>0.96891937336814649</v>
      </c>
      <c r="J811" s="270">
        <f t="shared" si="3993"/>
        <v>0.31069389033942563</v>
      </c>
      <c r="K811" s="269">
        <f t="shared" ref="K811:W811" si="4018">K86+K126+K151+K398+K404+K477</f>
        <v>371096.12000000011</v>
      </c>
      <c r="L811" s="269">
        <f t="shared" si="4018"/>
        <v>43586.67</v>
      </c>
      <c r="M811" s="269">
        <f t="shared" si="4018"/>
        <v>0</v>
      </c>
      <c r="N811" s="269">
        <f t="shared" si="4018"/>
        <v>278728.50999999995</v>
      </c>
      <c r="O811" s="269">
        <f t="shared" si="4018"/>
        <v>118995.76000000001</v>
      </c>
      <c r="P811" s="269">
        <f t="shared" si="4018"/>
        <v>43586.67</v>
      </c>
      <c r="Q811" s="269">
        <f t="shared" si="4018"/>
        <v>99890.85</v>
      </c>
      <c r="R811" s="269">
        <f t="shared" si="4018"/>
        <v>118995.76000000001</v>
      </c>
      <c r="S811" s="269">
        <f t="shared" si="4018"/>
        <v>43586.67</v>
      </c>
      <c r="T811" s="269">
        <f t="shared" si="4018"/>
        <v>99890.85</v>
      </c>
      <c r="U811" s="269">
        <f t="shared" si="4018"/>
        <v>252100.36</v>
      </c>
      <c r="V811" s="269">
        <f t="shared" si="4018"/>
        <v>0</v>
      </c>
      <c r="W811" s="269">
        <f t="shared" si="4018"/>
        <v>178837.65999999995</v>
      </c>
      <c r="X811" s="271">
        <f t="shared" ref="X811:Y811" si="4019">IF(O811&gt;0,O811/K811,0)</f>
        <v>0.32066021062144218</v>
      </c>
      <c r="Y811" s="271">
        <f t="shared" si="4019"/>
        <v>1</v>
      </c>
      <c r="Z811" s="271">
        <f t="shared" si="3985"/>
        <v>0.35838045415590974</v>
      </c>
      <c r="AA811" s="269">
        <f t="shared" ref="AA811:BW811" si="4020">AA86+AA126+AA151+AA398+AA404+AA477</f>
        <v>44862.060000000005</v>
      </c>
      <c r="AB811" s="269">
        <f t="shared" si="4020"/>
        <v>43586.67</v>
      </c>
      <c r="AC811" s="269">
        <f t="shared" si="4020"/>
        <v>0</v>
      </c>
      <c r="AD811" s="269">
        <f t="shared" si="4020"/>
        <v>34.229999999999997</v>
      </c>
      <c r="AE811" s="269">
        <f t="shared" si="4020"/>
        <v>0</v>
      </c>
      <c r="AF811" s="269">
        <f t="shared" si="4020"/>
        <v>28141.64</v>
      </c>
      <c r="AG811" s="269">
        <f t="shared" si="4020"/>
        <v>465.38</v>
      </c>
      <c r="AH811" s="269">
        <f t="shared" si="4020"/>
        <v>0</v>
      </c>
      <c r="AI811" s="269">
        <f t="shared" si="4020"/>
        <v>1614</v>
      </c>
      <c r="AJ811" s="269">
        <f t="shared" si="4020"/>
        <v>29755.61</v>
      </c>
      <c r="AK811" s="269">
        <f t="shared" si="4020"/>
        <v>0</v>
      </c>
      <c r="AL811" s="269">
        <f t="shared" si="4020"/>
        <v>20244.36</v>
      </c>
      <c r="AM811" s="269">
        <f t="shared" si="4020"/>
        <v>43878.48</v>
      </c>
      <c r="AN811" s="269">
        <f t="shared" si="4020"/>
        <v>0</v>
      </c>
      <c r="AO811" s="269">
        <f t="shared" si="4020"/>
        <v>0</v>
      </c>
      <c r="AP811" s="269">
        <f t="shared" si="4020"/>
        <v>0</v>
      </c>
      <c r="AQ811" s="269">
        <f t="shared" si="4020"/>
        <v>0</v>
      </c>
      <c r="AR811" s="269">
        <f t="shared" si="4020"/>
        <v>49890.85</v>
      </c>
      <c r="AS811" s="269">
        <f t="shared" si="4020"/>
        <v>0</v>
      </c>
      <c r="AT811" s="269">
        <f t="shared" si="4020"/>
        <v>0</v>
      </c>
      <c r="AU811" s="269">
        <f t="shared" si="4020"/>
        <v>0</v>
      </c>
      <c r="AV811" s="269">
        <f t="shared" si="4020"/>
        <v>0</v>
      </c>
      <c r="AW811" s="269">
        <f t="shared" si="4020"/>
        <v>0</v>
      </c>
      <c r="AX811" s="269">
        <f t="shared" si="4020"/>
        <v>0</v>
      </c>
      <c r="AY811" s="269">
        <f t="shared" si="4020"/>
        <v>0</v>
      </c>
      <c r="AZ811" s="269">
        <f t="shared" si="4020"/>
        <v>0</v>
      </c>
      <c r="BA811" s="269">
        <f t="shared" si="4020"/>
        <v>0</v>
      </c>
      <c r="BB811" s="269">
        <f t="shared" si="4020"/>
        <v>0</v>
      </c>
      <c r="BC811" s="269">
        <f t="shared" si="4020"/>
        <v>0</v>
      </c>
      <c r="BD811" s="269">
        <f t="shared" si="4020"/>
        <v>0</v>
      </c>
      <c r="BE811" s="269">
        <f t="shared" si="4020"/>
        <v>0</v>
      </c>
      <c r="BF811" s="269">
        <f t="shared" si="4020"/>
        <v>0</v>
      </c>
      <c r="BG811" s="269">
        <f t="shared" si="4020"/>
        <v>0</v>
      </c>
      <c r="BH811" s="269">
        <f t="shared" si="4020"/>
        <v>0</v>
      </c>
      <c r="BI811" s="269">
        <f t="shared" si="4020"/>
        <v>0</v>
      </c>
      <c r="BJ811" s="269">
        <f t="shared" si="4020"/>
        <v>0</v>
      </c>
      <c r="BK811" s="269">
        <f t="shared" si="4020"/>
        <v>0</v>
      </c>
      <c r="BL811" s="269">
        <f t="shared" si="4020"/>
        <v>0</v>
      </c>
      <c r="BM811" s="269">
        <f t="shared" si="4020"/>
        <v>0</v>
      </c>
      <c r="BN811" s="269">
        <f t="shared" si="4020"/>
        <v>118995.76000000001</v>
      </c>
      <c r="BO811" s="269">
        <f t="shared" si="4020"/>
        <v>99890.85</v>
      </c>
      <c r="BP811" s="269">
        <f t="shared" si="4020"/>
        <v>218886.61000000002</v>
      </c>
      <c r="BQ811" s="269">
        <f t="shared" si="4020"/>
        <v>252100.36</v>
      </c>
      <c r="BR811" s="269">
        <f t="shared" si="4020"/>
        <v>178837.65999999995</v>
      </c>
      <c r="BS811" s="269">
        <f t="shared" si="4020"/>
        <v>430938.0199999999</v>
      </c>
      <c r="BT811" s="269">
        <f t="shared" si="4020"/>
        <v>0</v>
      </c>
      <c r="BU811" s="269">
        <f t="shared" si="4020"/>
        <v>218886.61000000002</v>
      </c>
      <c r="BV811" s="269">
        <f t="shared" si="4020"/>
        <v>430938.0199999999</v>
      </c>
      <c r="BW811" s="269">
        <f t="shared" si="4020"/>
        <v>649824.63</v>
      </c>
      <c r="BX811" s="6"/>
      <c r="BY811" s="6"/>
      <c r="BZ811" s="6"/>
      <c r="CA811" s="6"/>
      <c r="CB811" s="6"/>
      <c r="CC811" s="6"/>
      <c r="CD811" s="6"/>
      <c r="CE811" s="6"/>
      <c r="CF811" s="6"/>
      <c r="CG811" s="6"/>
    </row>
    <row r="812" spans="1:85" ht="15.75" customHeight="1">
      <c r="A812" s="260"/>
      <c r="B812" s="261"/>
      <c r="C812" s="262"/>
      <c r="D812" s="78" t="s">
        <v>1038</v>
      </c>
      <c r="E812" s="269">
        <f t="shared" ref="E812:H812" si="4021">E91+E227+E246+E304+E770</f>
        <v>84000</v>
      </c>
      <c r="F812" s="269">
        <f t="shared" si="4021"/>
        <v>0</v>
      </c>
      <c r="G812" s="45">
        <f t="shared" si="4021"/>
        <v>84000</v>
      </c>
      <c r="H812" s="269">
        <f t="shared" si="4021"/>
        <v>0</v>
      </c>
      <c r="I812" s="270">
        <f t="shared" si="3992"/>
        <v>2.2126841666666666</v>
      </c>
      <c r="J812" s="270">
        <f t="shared" si="3993"/>
        <v>0.38446142857142862</v>
      </c>
      <c r="K812" s="269">
        <f t="shared" ref="K812:W812" si="4022">K91+K227+K246+K304+K770</f>
        <v>185865.47</v>
      </c>
      <c r="L812" s="269">
        <f t="shared" si="4022"/>
        <v>28916.299999999996</v>
      </c>
      <c r="M812" s="269">
        <f t="shared" si="4022"/>
        <v>0</v>
      </c>
      <c r="N812" s="269">
        <f t="shared" si="4022"/>
        <v>0</v>
      </c>
      <c r="O812" s="269">
        <f t="shared" si="4022"/>
        <v>32294.760000000002</v>
      </c>
      <c r="P812" s="269">
        <f t="shared" si="4022"/>
        <v>21350.3</v>
      </c>
      <c r="Q812" s="269">
        <f t="shared" si="4022"/>
        <v>0</v>
      </c>
      <c r="R812" s="269">
        <f t="shared" si="4022"/>
        <v>32294.760000000002</v>
      </c>
      <c r="S812" s="269">
        <f t="shared" si="4022"/>
        <v>21350.3</v>
      </c>
      <c r="T812" s="269">
        <f t="shared" si="4022"/>
        <v>0</v>
      </c>
      <c r="U812" s="269">
        <f t="shared" si="4022"/>
        <v>153570.71</v>
      </c>
      <c r="V812" s="269">
        <f t="shared" si="4022"/>
        <v>7566</v>
      </c>
      <c r="W812" s="269">
        <f t="shared" si="4022"/>
        <v>0</v>
      </c>
      <c r="X812" s="271">
        <f t="shared" ref="X812:Y812" si="4023">IF(O812&gt;0,O812/K812,0)</f>
        <v>0.17375341423019564</v>
      </c>
      <c r="Y812" s="271">
        <f t="shared" si="4023"/>
        <v>0.73834826724027636</v>
      </c>
      <c r="Z812" s="271">
        <f t="shared" si="3985"/>
        <v>0</v>
      </c>
      <c r="AA812" s="269">
        <f t="shared" ref="AA812:BW812" si="4024">AA91+AA227+AA246+AA304+AA770</f>
        <v>0</v>
      </c>
      <c r="AB812" s="269">
        <f t="shared" si="4024"/>
        <v>554.52</v>
      </c>
      <c r="AC812" s="269">
        <f t="shared" si="4024"/>
        <v>0</v>
      </c>
      <c r="AD812" s="269">
        <f t="shared" si="4024"/>
        <v>0</v>
      </c>
      <c r="AE812" s="269">
        <f t="shared" si="4024"/>
        <v>11377.460000000001</v>
      </c>
      <c r="AF812" s="269">
        <f t="shared" si="4024"/>
        <v>0</v>
      </c>
      <c r="AG812" s="269">
        <f t="shared" si="4024"/>
        <v>5927.2999999999993</v>
      </c>
      <c r="AH812" s="269">
        <f t="shared" si="4024"/>
        <v>2307.3199999999997</v>
      </c>
      <c r="AI812" s="269">
        <f t="shared" si="4024"/>
        <v>0</v>
      </c>
      <c r="AJ812" s="269">
        <f t="shared" si="4024"/>
        <v>8593.119999999999</v>
      </c>
      <c r="AK812" s="269">
        <f t="shared" si="4024"/>
        <v>0</v>
      </c>
      <c r="AL812" s="269">
        <f t="shared" si="4024"/>
        <v>0</v>
      </c>
      <c r="AM812" s="269">
        <f t="shared" si="4024"/>
        <v>8646.7999999999993</v>
      </c>
      <c r="AN812" s="269">
        <f t="shared" si="4024"/>
        <v>0</v>
      </c>
      <c r="AO812" s="269">
        <f t="shared" si="4024"/>
        <v>0</v>
      </c>
      <c r="AP812" s="269">
        <f t="shared" si="4024"/>
        <v>9127.5400000000009</v>
      </c>
      <c r="AQ812" s="269">
        <f t="shared" si="4024"/>
        <v>7111</v>
      </c>
      <c r="AR812" s="269">
        <f t="shared" si="4024"/>
        <v>0</v>
      </c>
      <c r="AS812" s="269">
        <f t="shared" si="4024"/>
        <v>0</v>
      </c>
      <c r="AT812" s="269">
        <f t="shared" si="4024"/>
        <v>0</v>
      </c>
      <c r="AU812" s="269">
        <f t="shared" si="4024"/>
        <v>0</v>
      </c>
      <c r="AV812" s="269">
        <f t="shared" si="4024"/>
        <v>0</v>
      </c>
      <c r="AW812" s="269">
        <f t="shared" si="4024"/>
        <v>0</v>
      </c>
      <c r="AX812" s="269">
        <f t="shared" si="4024"/>
        <v>0</v>
      </c>
      <c r="AY812" s="269">
        <f t="shared" si="4024"/>
        <v>0</v>
      </c>
      <c r="AZ812" s="269">
        <f t="shared" si="4024"/>
        <v>0</v>
      </c>
      <c r="BA812" s="269">
        <f t="shared" si="4024"/>
        <v>0</v>
      </c>
      <c r="BB812" s="269">
        <f t="shared" si="4024"/>
        <v>0</v>
      </c>
      <c r="BC812" s="269">
        <f t="shared" si="4024"/>
        <v>0</v>
      </c>
      <c r="BD812" s="269">
        <f t="shared" si="4024"/>
        <v>0</v>
      </c>
      <c r="BE812" s="269">
        <f t="shared" si="4024"/>
        <v>0</v>
      </c>
      <c r="BF812" s="269">
        <f t="shared" si="4024"/>
        <v>0</v>
      </c>
      <c r="BG812" s="269">
        <f t="shared" si="4024"/>
        <v>0</v>
      </c>
      <c r="BH812" s="269">
        <f t="shared" si="4024"/>
        <v>0</v>
      </c>
      <c r="BI812" s="269">
        <f t="shared" si="4024"/>
        <v>0</v>
      </c>
      <c r="BJ812" s="269">
        <f t="shared" si="4024"/>
        <v>0</v>
      </c>
      <c r="BK812" s="269">
        <f t="shared" si="4024"/>
        <v>0</v>
      </c>
      <c r="BL812" s="269">
        <f t="shared" si="4024"/>
        <v>0</v>
      </c>
      <c r="BM812" s="269">
        <f t="shared" si="4024"/>
        <v>0</v>
      </c>
      <c r="BN812" s="269">
        <f t="shared" si="4024"/>
        <v>32294.760000000002</v>
      </c>
      <c r="BO812" s="269">
        <f t="shared" si="4024"/>
        <v>0</v>
      </c>
      <c r="BP812" s="269">
        <f t="shared" si="4024"/>
        <v>32294.760000000002</v>
      </c>
      <c r="BQ812" s="269">
        <f t="shared" si="4024"/>
        <v>153570.71</v>
      </c>
      <c r="BR812" s="269">
        <f t="shared" si="4024"/>
        <v>0</v>
      </c>
      <c r="BS812" s="269">
        <f t="shared" si="4024"/>
        <v>153570.71</v>
      </c>
      <c r="BT812" s="269">
        <f t="shared" si="4024"/>
        <v>7566</v>
      </c>
      <c r="BU812" s="269">
        <f t="shared" si="4024"/>
        <v>32294.760000000002</v>
      </c>
      <c r="BV812" s="269">
        <f t="shared" si="4024"/>
        <v>153570.71</v>
      </c>
      <c r="BW812" s="269">
        <f t="shared" si="4024"/>
        <v>193431.47</v>
      </c>
      <c r="BX812" s="136"/>
      <c r="BY812" s="136"/>
      <c r="BZ812" s="136"/>
      <c r="CA812" s="136"/>
      <c r="CB812" s="136"/>
      <c r="CC812" s="136"/>
      <c r="CD812" s="136"/>
      <c r="CE812" s="136"/>
      <c r="CF812" s="136"/>
      <c r="CG812" s="136"/>
    </row>
    <row r="813" spans="1:85" ht="15.75">
      <c r="A813" s="296"/>
      <c r="B813" s="297"/>
      <c r="C813" s="297"/>
      <c r="D813" s="298" t="s">
        <v>247</v>
      </c>
      <c r="E813" s="540">
        <f t="shared" ref="E813:H813" si="4025">E97+E194+E204+E306+E337+E347+E357+E368+E541</f>
        <v>20400</v>
      </c>
      <c r="F813" s="540">
        <f t="shared" si="4025"/>
        <v>0</v>
      </c>
      <c r="G813" s="540">
        <f t="shared" si="4025"/>
        <v>20400</v>
      </c>
      <c r="H813" s="540">
        <f t="shared" si="4025"/>
        <v>8000</v>
      </c>
      <c r="I813" s="541">
        <f t="shared" si="3992"/>
        <v>0.12593039215686275</v>
      </c>
      <c r="J813" s="541">
        <f t="shared" si="3993"/>
        <v>2.2908333333333333E-2</v>
      </c>
      <c r="K813" s="542">
        <f t="shared" ref="K813:W813" si="4026">K97+K194+K204+K306+K337+K347+K357+K368+K541</f>
        <v>2568.98</v>
      </c>
      <c r="L813" s="542">
        <f t="shared" si="4026"/>
        <v>490.41</v>
      </c>
      <c r="M813" s="542">
        <f t="shared" si="4026"/>
        <v>0</v>
      </c>
      <c r="N813" s="542">
        <f t="shared" si="4026"/>
        <v>0</v>
      </c>
      <c r="O813" s="542">
        <f t="shared" si="4026"/>
        <v>467.33</v>
      </c>
      <c r="P813" s="542">
        <f t="shared" si="4026"/>
        <v>490.41</v>
      </c>
      <c r="Q813" s="542">
        <f t="shared" si="4026"/>
        <v>0</v>
      </c>
      <c r="R813" s="542">
        <f t="shared" si="4026"/>
        <v>467.33</v>
      </c>
      <c r="S813" s="542">
        <f t="shared" si="4026"/>
        <v>490.41</v>
      </c>
      <c r="T813" s="542">
        <f t="shared" si="4026"/>
        <v>0</v>
      </c>
      <c r="U813" s="540">
        <f t="shared" si="4026"/>
        <v>2101.65</v>
      </c>
      <c r="V813" s="540">
        <f t="shared" si="4026"/>
        <v>0</v>
      </c>
      <c r="W813" s="542">
        <f t="shared" si="4026"/>
        <v>0</v>
      </c>
      <c r="X813" s="543">
        <f t="shared" ref="X813:Y813" si="4027">IF(O813&gt;0,O813/K813,0)</f>
        <v>0.18191266572725362</v>
      </c>
      <c r="Y813" s="543">
        <f t="shared" si="4027"/>
        <v>1</v>
      </c>
      <c r="Z813" s="543">
        <f t="shared" si="3985"/>
        <v>0</v>
      </c>
      <c r="AA813" s="542">
        <f t="shared" ref="AA813:BW813" si="4028">AA97+AA194+AA204+AA306+AA337+AA347+AA357+AA368+AA541</f>
        <v>0</v>
      </c>
      <c r="AB813" s="542">
        <f t="shared" si="4028"/>
        <v>82.17</v>
      </c>
      <c r="AC813" s="542">
        <f t="shared" si="4028"/>
        <v>0</v>
      </c>
      <c r="AD813" s="542">
        <f t="shared" si="4028"/>
        <v>0</v>
      </c>
      <c r="AE813" s="542">
        <f t="shared" si="4028"/>
        <v>0</v>
      </c>
      <c r="AF813" s="542">
        <f t="shared" si="4028"/>
        <v>0</v>
      </c>
      <c r="AG813" s="542">
        <f t="shared" si="4028"/>
        <v>3.63</v>
      </c>
      <c r="AH813" s="542">
        <f t="shared" si="4028"/>
        <v>253.74</v>
      </c>
      <c r="AI813" s="542">
        <f t="shared" si="4028"/>
        <v>0</v>
      </c>
      <c r="AJ813" s="542">
        <f t="shared" si="4028"/>
        <v>14.74</v>
      </c>
      <c r="AK813" s="542">
        <f t="shared" si="4028"/>
        <v>154.5</v>
      </c>
      <c r="AL813" s="542">
        <f t="shared" si="4028"/>
        <v>0</v>
      </c>
      <c r="AM813" s="542">
        <f t="shared" si="4028"/>
        <v>110.52</v>
      </c>
      <c r="AN813" s="542">
        <f t="shared" si="4028"/>
        <v>0</v>
      </c>
      <c r="AO813" s="542">
        <f t="shared" si="4028"/>
        <v>0</v>
      </c>
      <c r="AP813" s="542">
        <f t="shared" si="4028"/>
        <v>338.44</v>
      </c>
      <c r="AQ813" s="542">
        <f t="shared" si="4028"/>
        <v>0</v>
      </c>
      <c r="AR813" s="542">
        <f t="shared" si="4028"/>
        <v>0</v>
      </c>
      <c r="AS813" s="542">
        <f t="shared" si="4028"/>
        <v>0</v>
      </c>
      <c r="AT813" s="542">
        <f t="shared" si="4028"/>
        <v>0</v>
      </c>
      <c r="AU813" s="542">
        <f t="shared" si="4028"/>
        <v>0</v>
      </c>
      <c r="AV813" s="542">
        <f t="shared" si="4028"/>
        <v>0</v>
      </c>
      <c r="AW813" s="542">
        <f t="shared" si="4028"/>
        <v>0</v>
      </c>
      <c r="AX813" s="542">
        <f t="shared" si="4028"/>
        <v>0</v>
      </c>
      <c r="AY813" s="542">
        <f t="shared" si="4028"/>
        <v>0</v>
      </c>
      <c r="AZ813" s="542">
        <f t="shared" si="4028"/>
        <v>0</v>
      </c>
      <c r="BA813" s="542">
        <f t="shared" si="4028"/>
        <v>0</v>
      </c>
      <c r="BB813" s="542">
        <f t="shared" si="4028"/>
        <v>0</v>
      </c>
      <c r="BC813" s="542">
        <f t="shared" si="4028"/>
        <v>0</v>
      </c>
      <c r="BD813" s="542">
        <f t="shared" si="4028"/>
        <v>0</v>
      </c>
      <c r="BE813" s="542">
        <f t="shared" si="4028"/>
        <v>0</v>
      </c>
      <c r="BF813" s="542">
        <f t="shared" si="4028"/>
        <v>0</v>
      </c>
      <c r="BG813" s="542">
        <f t="shared" si="4028"/>
        <v>0</v>
      </c>
      <c r="BH813" s="542">
        <f t="shared" si="4028"/>
        <v>0</v>
      </c>
      <c r="BI813" s="542">
        <f t="shared" si="4028"/>
        <v>0</v>
      </c>
      <c r="BJ813" s="542">
        <f t="shared" si="4028"/>
        <v>0</v>
      </c>
      <c r="BK813" s="542">
        <f t="shared" si="4028"/>
        <v>0</v>
      </c>
      <c r="BL813" s="542">
        <f t="shared" si="4028"/>
        <v>0</v>
      </c>
      <c r="BM813" s="542">
        <f t="shared" si="4028"/>
        <v>0</v>
      </c>
      <c r="BN813" s="542">
        <f t="shared" si="4028"/>
        <v>447.37</v>
      </c>
      <c r="BO813" s="542">
        <f t="shared" si="4028"/>
        <v>0</v>
      </c>
      <c r="BP813" s="542">
        <f t="shared" si="4028"/>
        <v>447.37</v>
      </c>
      <c r="BQ813" s="542">
        <f t="shared" si="4028"/>
        <v>2056.2600000000002</v>
      </c>
      <c r="BR813" s="542">
        <f t="shared" si="4028"/>
        <v>0</v>
      </c>
      <c r="BS813" s="542">
        <f t="shared" si="4028"/>
        <v>2056.2600000000002</v>
      </c>
      <c r="BT813" s="542">
        <f t="shared" si="4028"/>
        <v>0</v>
      </c>
      <c r="BU813" s="542">
        <f t="shared" si="4028"/>
        <v>447.37</v>
      </c>
      <c r="BV813" s="542">
        <f t="shared" si="4028"/>
        <v>2056.2600000000002</v>
      </c>
      <c r="BW813" s="542">
        <f t="shared" si="4028"/>
        <v>2503.63</v>
      </c>
      <c r="BX813" s="6"/>
      <c r="BY813" s="6"/>
      <c r="BZ813" s="6"/>
      <c r="CA813" s="6"/>
      <c r="CB813" s="6"/>
      <c r="CC813" s="6"/>
      <c r="CD813" s="6"/>
      <c r="CE813" s="6"/>
      <c r="CF813" s="6"/>
      <c r="CG813" s="6"/>
    </row>
    <row r="814" spans="1:85" ht="15.75">
      <c r="A814" s="260"/>
      <c r="B814" s="261"/>
      <c r="C814" s="262"/>
      <c r="D814" s="78" t="s">
        <v>75</v>
      </c>
      <c r="E814" s="269">
        <f t="shared" ref="E814:H814" si="4029">E10+E103+E279+E479+E705</f>
        <v>0</v>
      </c>
      <c r="F814" s="269">
        <f t="shared" si="4029"/>
        <v>0</v>
      </c>
      <c r="G814" s="269">
        <f t="shared" si="4029"/>
        <v>0</v>
      </c>
      <c r="H814" s="269">
        <f t="shared" si="4029"/>
        <v>0</v>
      </c>
      <c r="I814" s="541">
        <f t="shared" si="3992"/>
        <v>0</v>
      </c>
      <c r="J814" s="541">
        <f t="shared" si="3993"/>
        <v>0</v>
      </c>
      <c r="K814" s="269">
        <f t="shared" ref="K814:W814" si="4030">K10+K103+K279+K479+K705</f>
        <v>10197.35</v>
      </c>
      <c r="L814" s="269">
        <f t="shared" si="4030"/>
        <v>12120</v>
      </c>
      <c r="M814" s="269">
        <f t="shared" si="4030"/>
        <v>0</v>
      </c>
      <c r="N814" s="269">
        <f t="shared" si="4030"/>
        <v>1500</v>
      </c>
      <c r="O814" s="269">
        <f t="shared" si="4030"/>
        <v>6839.14</v>
      </c>
      <c r="P814" s="269">
        <f t="shared" si="4030"/>
        <v>0</v>
      </c>
      <c r="Q814" s="269">
        <f t="shared" si="4030"/>
        <v>218</v>
      </c>
      <c r="R814" s="269">
        <f t="shared" si="4030"/>
        <v>6839.14</v>
      </c>
      <c r="S814" s="269">
        <f t="shared" si="4030"/>
        <v>0</v>
      </c>
      <c r="T814" s="269">
        <f t="shared" si="4030"/>
        <v>218</v>
      </c>
      <c r="U814" s="269">
        <f t="shared" si="4030"/>
        <v>3358.21</v>
      </c>
      <c r="V814" s="269">
        <f t="shared" si="4030"/>
        <v>12120</v>
      </c>
      <c r="W814" s="269">
        <f t="shared" si="4030"/>
        <v>1282</v>
      </c>
      <c r="X814" s="543">
        <f t="shared" ref="X814:Y814" si="4031">IF(O814&gt;0,O814/K814,0)</f>
        <v>0.67067816638636513</v>
      </c>
      <c r="Y814" s="543">
        <f t="shared" si="4031"/>
        <v>0</v>
      </c>
      <c r="Z814" s="543">
        <f t="shared" si="3985"/>
        <v>0.14533333333333334</v>
      </c>
      <c r="AA814" s="269">
        <f t="shared" ref="AA814:BW814" si="4032">AA10+AA103+AA279+AA479+AA705</f>
        <v>905.94</v>
      </c>
      <c r="AB814" s="269">
        <f t="shared" si="4032"/>
        <v>0</v>
      </c>
      <c r="AC814" s="269">
        <f t="shared" si="4032"/>
        <v>0</v>
      </c>
      <c r="AD814" s="269">
        <f t="shared" si="4032"/>
        <v>0</v>
      </c>
      <c r="AE814" s="269">
        <f t="shared" si="4032"/>
        <v>0</v>
      </c>
      <c r="AF814" s="269">
        <f t="shared" si="4032"/>
        <v>0</v>
      </c>
      <c r="AG814" s="269">
        <f t="shared" si="4032"/>
        <v>669.92000000000007</v>
      </c>
      <c r="AH814" s="269">
        <f t="shared" si="4032"/>
        <v>0</v>
      </c>
      <c r="AI814" s="269">
        <f t="shared" si="4032"/>
        <v>218</v>
      </c>
      <c r="AJ814" s="269">
        <f t="shared" si="4032"/>
        <v>1362.49</v>
      </c>
      <c r="AK814" s="269">
        <f t="shared" si="4032"/>
        <v>0</v>
      </c>
      <c r="AL814" s="269">
        <f t="shared" si="4032"/>
        <v>0</v>
      </c>
      <c r="AM814" s="269">
        <f t="shared" si="4032"/>
        <v>1553.34</v>
      </c>
      <c r="AN814" s="269">
        <f t="shared" si="4032"/>
        <v>0</v>
      </c>
      <c r="AO814" s="269">
        <f t="shared" si="4032"/>
        <v>0</v>
      </c>
      <c r="AP814" s="269">
        <f t="shared" si="4032"/>
        <v>2347.4499999999998</v>
      </c>
      <c r="AQ814" s="269">
        <f t="shared" si="4032"/>
        <v>0</v>
      </c>
      <c r="AR814" s="269">
        <f t="shared" si="4032"/>
        <v>0</v>
      </c>
      <c r="AS814" s="269">
        <f t="shared" si="4032"/>
        <v>0</v>
      </c>
      <c r="AT814" s="269">
        <f t="shared" si="4032"/>
        <v>0</v>
      </c>
      <c r="AU814" s="269">
        <f t="shared" si="4032"/>
        <v>0</v>
      </c>
      <c r="AV814" s="269">
        <f t="shared" si="4032"/>
        <v>0</v>
      </c>
      <c r="AW814" s="269">
        <f t="shared" si="4032"/>
        <v>0</v>
      </c>
      <c r="AX814" s="269">
        <f t="shared" si="4032"/>
        <v>0</v>
      </c>
      <c r="AY814" s="269">
        <f t="shared" si="4032"/>
        <v>0</v>
      </c>
      <c r="AZ814" s="269">
        <f t="shared" si="4032"/>
        <v>0</v>
      </c>
      <c r="BA814" s="269">
        <f t="shared" si="4032"/>
        <v>0</v>
      </c>
      <c r="BB814" s="269">
        <f t="shared" si="4032"/>
        <v>0</v>
      </c>
      <c r="BC814" s="269">
        <f t="shared" si="4032"/>
        <v>0</v>
      </c>
      <c r="BD814" s="269">
        <f t="shared" si="4032"/>
        <v>0</v>
      </c>
      <c r="BE814" s="269">
        <f t="shared" si="4032"/>
        <v>0</v>
      </c>
      <c r="BF814" s="269">
        <f t="shared" si="4032"/>
        <v>0</v>
      </c>
      <c r="BG814" s="269">
        <f t="shared" si="4032"/>
        <v>0</v>
      </c>
      <c r="BH814" s="269">
        <f t="shared" si="4032"/>
        <v>0</v>
      </c>
      <c r="BI814" s="269">
        <f t="shared" si="4032"/>
        <v>0</v>
      </c>
      <c r="BJ814" s="269">
        <f t="shared" si="4032"/>
        <v>0</v>
      </c>
      <c r="BK814" s="269">
        <f t="shared" si="4032"/>
        <v>0</v>
      </c>
      <c r="BL814" s="269">
        <f t="shared" si="4032"/>
        <v>0</v>
      </c>
      <c r="BM814" s="269">
        <f t="shared" si="4032"/>
        <v>0</v>
      </c>
      <c r="BN814" s="269">
        <f t="shared" si="4032"/>
        <v>6839.14</v>
      </c>
      <c r="BO814" s="269">
        <f t="shared" si="4032"/>
        <v>218</v>
      </c>
      <c r="BP814" s="269">
        <f t="shared" si="4032"/>
        <v>7057.14</v>
      </c>
      <c r="BQ814" s="269">
        <f t="shared" si="4032"/>
        <v>3358.21</v>
      </c>
      <c r="BR814" s="269">
        <f t="shared" si="4032"/>
        <v>1282</v>
      </c>
      <c r="BS814" s="269">
        <f t="shared" si="4032"/>
        <v>4640.21</v>
      </c>
      <c r="BT814" s="269">
        <f t="shared" si="4032"/>
        <v>12120</v>
      </c>
      <c r="BU814" s="269">
        <f t="shared" si="4032"/>
        <v>7057.14</v>
      </c>
      <c r="BV814" s="269">
        <f t="shared" si="4032"/>
        <v>4640.21</v>
      </c>
      <c r="BW814" s="269">
        <f t="shared" si="4032"/>
        <v>23817.35</v>
      </c>
      <c r="BX814" s="6"/>
      <c r="BY814" s="6"/>
      <c r="BZ814" s="6"/>
      <c r="CA814" s="6"/>
      <c r="CB814" s="6"/>
      <c r="CC814" s="6"/>
      <c r="CD814" s="6"/>
      <c r="CE814" s="6"/>
      <c r="CF814" s="6"/>
      <c r="CG814" s="6"/>
    </row>
    <row r="815" spans="1:85" ht="15.75">
      <c r="A815" s="260"/>
      <c r="B815" s="261"/>
      <c r="C815" s="262"/>
      <c r="D815" s="78" t="s">
        <v>280</v>
      </c>
      <c r="E815" s="269">
        <f t="shared" ref="E815:H815" si="4033">E105+E128+E526+E722</f>
        <v>0</v>
      </c>
      <c r="F815" s="269">
        <f t="shared" si="4033"/>
        <v>0</v>
      </c>
      <c r="G815" s="269">
        <f t="shared" si="4033"/>
        <v>0</v>
      </c>
      <c r="H815" s="269">
        <f t="shared" si="4033"/>
        <v>7320000</v>
      </c>
      <c r="I815" s="270">
        <f t="shared" si="3992"/>
        <v>0</v>
      </c>
      <c r="J815" s="270">
        <f t="shared" si="3993"/>
        <v>0</v>
      </c>
      <c r="K815" s="269">
        <f t="shared" ref="K815:W815" si="4034">K105+K128+K526+K722</f>
        <v>0</v>
      </c>
      <c r="L815" s="269">
        <f t="shared" si="4034"/>
        <v>0</v>
      </c>
      <c r="M815" s="269">
        <f t="shared" si="4034"/>
        <v>0</v>
      </c>
      <c r="N815" s="269">
        <f t="shared" si="4034"/>
        <v>0</v>
      </c>
      <c r="O815" s="269">
        <f t="shared" si="4034"/>
        <v>0</v>
      </c>
      <c r="P815" s="269">
        <f t="shared" si="4034"/>
        <v>0</v>
      </c>
      <c r="Q815" s="269">
        <f t="shared" si="4034"/>
        <v>0</v>
      </c>
      <c r="R815" s="269">
        <f t="shared" si="4034"/>
        <v>0</v>
      </c>
      <c r="S815" s="269">
        <f t="shared" si="4034"/>
        <v>0</v>
      </c>
      <c r="T815" s="269">
        <f t="shared" si="4034"/>
        <v>0</v>
      </c>
      <c r="U815" s="269">
        <f t="shared" si="4034"/>
        <v>0</v>
      </c>
      <c r="V815" s="269">
        <f t="shared" si="4034"/>
        <v>0</v>
      </c>
      <c r="W815" s="269">
        <f t="shared" si="4034"/>
        <v>0</v>
      </c>
      <c r="X815" s="271">
        <f t="shared" ref="X815:Y815" si="4035">IF(O815&gt;0,O815/K815,0)</f>
        <v>0</v>
      </c>
      <c r="Y815" s="271">
        <f t="shared" si="4035"/>
        <v>0</v>
      </c>
      <c r="Z815" s="271">
        <f t="shared" si="3985"/>
        <v>0</v>
      </c>
      <c r="AA815" s="269">
        <f t="shared" ref="AA815:BW815" si="4036">AA105+AA128+AA526+AA722</f>
        <v>0</v>
      </c>
      <c r="AB815" s="269">
        <f t="shared" si="4036"/>
        <v>0</v>
      </c>
      <c r="AC815" s="269">
        <f t="shared" si="4036"/>
        <v>0</v>
      </c>
      <c r="AD815" s="269">
        <f t="shared" si="4036"/>
        <v>0</v>
      </c>
      <c r="AE815" s="269">
        <f t="shared" si="4036"/>
        <v>0</v>
      </c>
      <c r="AF815" s="269">
        <f t="shared" si="4036"/>
        <v>0</v>
      </c>
      <c r="AG815" s="269">
        <f t="shared" si="4036"/>
        <v>0</v>
      </c>
      <c r="AH815" s="269">
        <f t="shared" si="4036"/>
        <v>0</v>
      </c>
      <c r="AI815" s="269">
        <f t="shared" si="4036"/>
        <v>0</v>
      </c>
      <c r="AJ815" s="269">
        <f t="shared" si="4036"/>
        <v>0</v>
      </c>
      <c r="AK815" s="269">
        <f t="shared" si="4036"/>
        <v>0</v>
      </c>
      <c r="AL815" s="269">
        <f t="shared" si="4036"/>
        <v>0</v>
      </c>
      <c r="AM815" s="269">
        <f t="shared" si="4036"/>
        <v>0</v>
      </c>
      <c r="AN815" s="269">
        <f t="shared" si="4036"/>
        <v>0</v>
      </c>
      <c r="AO815" s="269">
        <f t="shared" si="4036"/>
        <v>0</v>
      </c>
      <c r="AP815" s="269">
        <f t="shared" si="4036"/>
        <v>0</v>
      </c>
      <c r="AQ815" s="269">
        <f t="shared" si="4036"/>
        <v>0</v>
      </c>
      <c r="AR815" s="269">
        <f t="shared" si="4036"/>
        <v>0</v>
      </c>
      <c r="AS815" s="269">
        <f t="shared" si="4036"/>
        <v>0</v>
      </c>
      <c r="AT815" s="269">
        <f t="shared" si="4036"/>
        <v>0</v>
      </c>
      <c r="AU815" s="269">
        <f t="shared" si="4036"/>
        <v>0</v>
      </c>
      <c r="AV815" s="269">
        <f t="shared" si="4036"/>
        <v>0</v>
      </c>
      <c r="AW815" s="269">
        <f t="shared" si="4036"/>
        <v>0</v>
      </c>
      <c r="AX815" s="269">
        <f t="shared" si="4036"/>
        <v>0</v>
      </c>
      <c r="AY815" s="269">
        <f t="shared" si="4036"/>
        <v>0</v>
      </c>
      <c r="AZ815" s="269">
        <f t="shared" si="4036"/>
        <v>0</v>
      </c>
      <c r="BA815" s="269">
        <f t="shared" si="4036"/>
        <v>0</v>
      </c>
      <c r="BB815" s="269">
        <f t="shared" si="4036"/>
        <v>0</v>
      </c>
      <c r="BC815" s="269">
        <f t="shared" si="4036"/>
        <v>0</v>
      </c>
      <c r="BD815" s="269">
        <f t="shared" si="4036"/>
        <v>0</v>
      </c>
      <c r="BE815" s="269">
        <f t="shared" si="4036"/>
        <v>0</v>
      </c>
      <c r="BF815" s="269">
        <f t="shared" si="4036"/>
        <v>0</v>
      </c>
      <c r="BG815" s="269">
        <f t="shared" si="4036"/>
        <v>0</v>
      </c>
      <c r="BH815" s="269">
        <f t="shared" si="4036"/>
        <v>0</v>
      </c>
      <c r="BI815" s="269">
        <f t="shared" si="4036"/>
        <v>0</v>
      </c>
      <c r="BJ815" s="269">
        <f t="shared" si="4036"/>
        <v>0</v>
      </c>
      <c r="BK815" s="269">
        <f t="shared" si="4036"/>
        <v>0</v>
      </c>
      <c r="BL815" s="269">
        <f t="shared" si="4036"/>
        <v>0</v>
      </c>
      <c r="BM815" s="269">
        <f t="shared" si="4036"/>
        <v>0</v>
      </c>
      <c r="BN815" s="269">
        <f t="shared" si="4036"/>
        <v>0</v>
      </c>
      <c r="BO815" s="269">
        <f t="shared" si="4036"/>
        <v>0</v>
      </c>
      <c r="BP815" s="269">
        <f t="shared" si="4036"/>
        <v>0</v>
      </c>
      <c r="BQ815" s="269">
        <f t="shared" si="4036"/>
        <v>0</v>
      </c>
      <c r="BR815" s="269">
        <f t="shared" si="4036"/>
        <v>0</v>
      </c>
      <c r="BS815" s="269">
        <f t="shared" si="4036"/>
        <v>0</v>
      </c>
      <c r="BT815" s="269">
        <f t="shared" si="4036"/>
        <v>0</v>
      </c>
      <c r="BU815" s="269">
        <f t="shared" si="4036"/>
        <v>0</v>
      </c>
      <c r="BV815" s="269">
        <f t="shared" si="4036"/>
        <v>0</v>
      </c>
      <c r="BW815" s="269">
        <f t="shared" si="4036"/>
        <v>0</v>
      </c>
      <c r="BX815" s="6"/>
      <c r="BY815" s="6"/>
      <c r="BZ815" s="6"/>
      <c r="CA815" s="6"/>
      <c r="CB815" s="6"/>
      <c r="CC815" s="6"/>
      <c r="CD815" s="6"/>
      <c r="CE815" s="6"/>
      <c r="CF815" s="6"/>
      <c r="CG815" s="6"/>
    </row>
    <row r="816" spans="1:85" ht="15.75" customHeight="1">
      <c r="A816" s="544"/>
      <c r="B816" s="545"/>
      <c r="C816" s="546"/>
      <c r="D816" s="547" t="s">
        <v>264</v>
      </c>
      <c r="E816" s="269">
        <f t="shared" ref="E816:H816" si="4037">E107+E139+E154+E166+E251+E254+E257+E264+E308+E322+E370+E381+E481+E524+E619+E707+E725+E740+E759</f>
        <v>0</v>
      </c>
      <c r="F816" s="269">
        <f t="shared" si="4037"/>
        <v>0</v>
      </c>
      <c r="G816" s="269">
        <f t="shared" si="4037"/>
        <v>0</v>
      </c>
      <c r="H816" s="269">
        <f t="shared" si="4037"/>
        <v>1150000</v>
      </c>
      <c r="I816" s="270">
        <f t="shared" si="3992"/>
        <v>0</v>
      </c>
      <c r="J816" s="270">
        <f t="shared" si="3993"/>
        <v>0</v>
      </c>
      <c r="K816" s="269">
        <f t="shared" ref="K816:W816" si="4038">K107+K139+K154+K166+K251+K254+K257+K264+K308+K322+K370+K381+K481+K524+K619+K707+K725+K740+K759</f>
        <v>0</v>
      </c>
      <c r="L816" s="269">
        <f t="shared" si="4038"/>
        <v>616745.5</v>
      </c>
      <c r="M816" s="269">
        <f t="shared" si="4038"/>
        <v>0</v>
      </c>
      <c r="N816" s="269">
        <f t="shared" si="4038"/>
        <v>101292.6</v>
      </c>
      <c r="O816" s="269">
        <f t="shared" si="4038"/>
        <v>0</v>
      </c>
      <c r="P816" s="269">
        <f t="shared" si="4038"/>
        <v>576939.44999999995</v>
      </c>
      <c r="Q816" s="269">
        <f t="shared" si="4038"/>
        <v>86007</v>
      </c>
      <c r="R816" s="269">
        <f t="shared" si="4038"/>
        <v>0</v>
      </c>
      <c r="S816" s="269">
        <f t="shared" si="4038"/>
        <v>576939.44999999995</v>
      </c>
      <c r="T816" s="269">
        <f t="shared" si="4038"/>
        <v>86007</v>
      </c>
      <c r="U816" s="269">
        <f t="shared" si="4038"/>
        <v>0</v>
      </c>
      <c r="V816" s="269">
        <f t="shared" si="4038"/>
        <v>39806.049999999996</v>
      </c>
      <c r="W816" s="269">
        <f t="shared" si="4038"/>
        <v>15285.6</v>
      </c>
      <c r="X816" s="271">
        <f t="shared" ref="X816:Y816" si="4039">IF(O816&gt;0,O816/K816,0)</f>
        <v>0</v>
      </c>
      <c r="Y816" s="271">
        <f t="shared" si="4039"/>
        <v>0.93545789957121694</v>
      </c>
      <c r="Z816" s="271">
        <f t="shared" si="3985"/>
        <v>0.84909460315955954</v>
      </c>
      <c r="AA816" s="269">
        <f t="shared" ref="AA816:BW816" si="4040">AA107+AA139+AA154+AA166+AA251+AA254+AA257+AA264+AA308+AA322+AA370+AA381+AA481+AA524+AA619+AA707+AA725+AA740+AA759</f>
        <v>0</v>
      </c>
      <c r="AB816" s="269">
        <f t="shared" si="4040"/>
        <v>315006.18</v>
      </c>
      <c r="AC816" s="269">
        <f t="shared" si="4040"/>
        <v>0</v>
      </c>
      <c r="AD816" s="269">
        <f t="shared" si="4040"/>
        <v>0</v>
      </c>
      <c r="AE816" s="269">
        <f t="shared" si="4040"/>
        <v>111641.85</v>
      </c>
      <c r="AF816" s="269">
        <f t="shared" si="4040"/>
        <v>0</v>
      </c>
      <c r="AG816" s="269">
        <f t="shared" si="4040"/>
        <v>0</v>
      </c>
      <c r="AH816" s="269">
        <f t="shared" si="4040"/>
        <v>123404.2</v>
      </c>
      <c r="AI816" s="269">
        <f t="shared" si="4040"/>
        <v>40377</v>
      </c>
      <c r="AJ816" s="269">
        <f t="shared" si="4040"/>
        <v>0</v>
      </c>
      <c r="AK816" s="269">
        <f t="shared" si="4040"/>
        <v>2868.74</v>
      </c>
      <c r="AL816" s="269">
        <f t="shared" si="4040"/>
        <v>0</v>
      </c>
      <c r="AM816" s="269">
        <f t="shared" si="4040"/>
        <v>0</v>
      </c>
      <c r="AN816" s="269">
        <f t="shared" si="4040"/>
        <v>4018.48</v>
      </c>
      <c r="AO816" s="269">
        <f t="shared" si="4040"/>
        <v>45630</v>
      </c>
      <c r="AP816" s="269">
        <f t="shared" si="4040"/>
        <v>0</v>
      </c>
      <c r="AQ816" s="269">
        <f t="shared" si="4040"/>
        <v>20000</v>
      </c>
      <c r="AR816" s="269">
        <f t="shared" si="4040"/>
        <v>0</v>
      </c>
      <c r="AS816" s="269">
        <f t="shared" si="4040"/>
        <v>0</v>
      </c>
      <c r="AT816" s="269">
        <f t="shared" si="4040"/>
        <v>0</v>
      </c>
      <c r="AU816" s="269">
        <f t="shared" si="4040"/>
        <v>0</v>
      </c>
      <c r="AV816" s="269">
        <f t="shared" si="4040"/>
        <v>0</v>
      </c>
      <c r="AW816" s="269">
        <f t="shared" si="4040"/>
        <v>0</v>
      </c>
      <c r="AX816" s="269">
        <f t="shared" si="4040"/>
        <v>0</v>
      </c>
      <c r="AY816" s="269">
        <f t="shared" si="4040"/>
        <v>0</v>
      </c>
      <c r="AZ816" s="269">
        <f t="shared" si="4040"/>
        <v>0</v>
      </c>
      <c r="BA816" s="269">
        <f t="shared" si="4040"/>
        <v>0</v>
      </c>
      <c r="BB816" s="269">
        <f t="shared" si="4040"/>
        <v>0</v>
      </c>
      <c r="BC816" s="269">
        <f t="shared" si="4040"/>
        <v>0</v>
      </c>
      <c r="BD816" s="269">
        <f t="shared" si="4040"/>
        <v>0</v>
      </c>
      <c r="BE816" s="269">
        <f t="shared" si="4040"/>
        <v>0</v>
      </c>
      <c r="BF816" s="269">
        <f t="shared" si="4040"/>
        <v>0</v>
      </c>
      <c r="BG816" s="269">
        <f t="shared" si="4040"/>
        <v>0</v>
      </c>
      <c r="BH816" s="269">
        <f t="shared" si="4040"/>
        <v>0</v>
      </c>
      <c r="BI816" s="269">
        <f t="shared" si="4040"/>
        <v>0</v>
      </c>
      <c r="BJ816" s="269">
        <f t="shared" si="4040"/>
        <v>0</v>
      </c>
      <c r="BK816" s="269">
        <f t="shared" si="4040"/>
        <v>0</v>
      </c>
      <c r="BL816" s="269">
        <f t="shared" si="4040"/>
        <v>0</v>
      </c>
      <c r="BM816" s="269">
        <f t="shared" si="4040"/>
        <v>0</v>
      </c>
      <c r="BN816" s="269">
        <f t="shared" si="4040"/>
        <v>0</v>
      </c>
      <c r="BO816" s="269">
        <f t="shared" si="4040"/>
        <v>86007</v>
      </c>
      <c r="BP816" s="269">
        <f t="shared" si="4040"/>
        <v>86007</v>
      </c>
      <c r="BQ816" s="269">
        <f t="shared" si="4040"/>
        <v>0</v>
      </c>
      <c r="BR816" s="269">
        <f t="shared" si="4040"/>
        <v>15285.6</v>
      </c>
      <c r="BS816" s="269">
        <f t="shared" si="4040"/>
        <v>15285.6</v>
      </c>
      <c r="BT816" s="269">
        <f t="shared" si="4040"/>
        <v>39806.049999999996</v>
      </c>
      <c r="BU816" s="269">
        <f t="shared" si="4040"/>
        <v>86007</v>
      </c>
      <c r="BV816" s="269">
        <f t="shared" si="4040"/>
        <v>15285.6</v>
      </c>
      <c r="BW816" s="269">
        <f t="shared" si="4040"/>
        <v>141098.65</v>
      </c>
      <c r="BX816" s="6"/>
      <c r="BY816" s="6"/>
      <c r="BZ816" s="6"/>
      <c r="CA816" s="6"/>
      <c r="CB816" s="6"/>
      <c r="CC816" s="6"/>
      <c r="CD816" s="6"/>
      <c r="CE816" s="6"/>
      <c r="CF816" s="6"/>
      <c r="CG816" s="6"/>
    </row>
    <row r="817" spans="1:85" ht="15.75" customHeight="1">
      <c r="A817" s="548"/>
      <c r="B817" s="549"/>
      <c r="C817" s="550"/>
      <c r="D817" s="551" t="s">
        <v>1039</v>
      </c>
      <c r="E817" s="552">
        <f t="shared" ref="E817:BW817" si="4041">E773</f>
        <v>0</v>
      </c>
      <c r="F817" s="552">
        <f t="shared" si="4041"/>
        <v>0</v>
      </c>
      <c r="G817" s="552">
        <f t="shared" si="4041"/>
        <v>0</v>
      </c>
      <c r="H817" s="552">
        <f t="shared" si="4041"/>
        <v>0</v>
      </c>
      <c r="I817" s="552" t="e">
        <f t="shared" si="4041"/>
        <v>#DIV/0!</v>
      </c>
      <c r="J817" s="552" t="e">
        <f t="shared" si="4041"/>
        <v>#DIV/0!</v>
      </c>
      <c r="K817" s="552">
        <f t="shared" si="4041"/>
        <v>29672</v>
      </c>
      <c r="L817" s="552">
        <f t="shared" si="4041"/>
        <v>0</v>
      </c>
      <c r="M817" s="552">
        <f t="shared" si="4041"/>
        <v>0</v>
      </c>
      <c r="N817" s="552">
        <f t="shared" si="4041"/>
        <v>0</v>
      </c>
      <c r="O817" s="552">
        <f t="shared" si="4041"/>
        <v>29492</v>
      </c>
      <c r="P817" s="552">
        <f t="shared" si="4041"/>
        <v>0</v>
      </c>
      <c r="Q817" s="552">
        <f t="shared" si="4041"/>
        <v>0</v>
      </c>
      <c r="R817" s="552">
        <f t="shared" si="4041"/>
        <v>29492</v>
      </c>
      <c r="S817" s="552">
        <f t="shared" si="4041"/>
        <v>0</v>
      </c>
      <c r="T817" s="552">
        <f t="shared" si="4041"/>
        <v>0</v>
      </c>
      <c r="U817" s="552">
        <f t="shared" si="4041"/>
        <v>180</v>
      </c>
      <c r="V817" s="552">
        <f t="shared" si="4041"/>
        <v>0</v>
      </c>
      <c r="W817" s="552">
        <f t="shared" si="4041"/>
        <v>0</v>
      </c>
      <c r="X817" s="552">
        <f t="shared" si="4041"/>
        <v>0.99393367484497164</v>
      </c>
      <c r="Y817" s="552">
        <f t="shared" si="4041"/>
        <v>0</v>
      </c>
      <c r="Z817" s="552">
        <f t="shared" si="4041"/>
        <v>0</v>
      </c>
      <c r="AA817" s="552">
        <f t="shared" si="4041"/>
        <v>0</v>
      </c>
      <c r="AB817" s="552">
        <f t="shared" si="4041"/>
        <v>0</v>
      </c>
      <c r="AC817" s="552">
        <f t="shared" si="4041"/>
        <v>0</v>
      </c>
      <c r="AD817" s="552">
        <f t="shared" si="4041"/>
        <v>0</v>
      </c>
      <c r="AE817" s="552">
        <f t="shared" si="4041"/>
        <v>0</v>
      </c>
      <c r="AF817" s="552">
        <f t="shared" si="4041"/>
        <v>0</v>
      </c>
      <c r="AG817" s="552">
        <f t="shared" si="4041"/>
        <v>0</v>
      </c>
      <c r="AH817" s="552">
        <f t="shared" si="4041"/>
        <v>0</v>
      </c>
      <c r="AI817" s="552">
        <f t="shared" si="4041"/>
        <v>0</v>
      </c>
      <c r="AJ817" s="552">
        <f t="shared" si="4041"/>
        <v>0</v>
      </c>
      <c r="AK817" s="552">
        <f t="shared" si="4041"/>
        <v>0</v>
      </c>
      <c r="AL817" s="552">
        <f t="shared" si="4041"/>
        <v>0</v>
      </c>
      <c r="AM817" s="552">
        <f t="shared" si="4041"/>
        <v>13700</v>
      </c>
      <c r="AN817" s="552">
        <f t="shared" si="4041"/>
        <v>0</v>
      </c>
      <c r="AO817" s="552">
        <f t="shared" si="4041"/>
        <v>0</v>
      </c>
      <c r="AP817" s="552">
        <f t="shared" si="4041"/>
        <v>15792</v>
      </c>
      <c r="AQ817" s="552">
        <f t="shared" si="4041"/>
        <v>0</v>
      </c>
      <c r="AR817" s="552">
        <f t="shared" si="4041"/>
        <v>0</v>
      </c>
      <c r="AS817" s="552">
        <f t="shared" si="4041"/>
        <v>0</v>
      </c>
      <c r="AT817" s="552">
        <f t="shared" si="4041"/>
        <v>0</v>
      </c>
      <c r="AU817" s="552">
        <f t="shared" si="4041"/>
        <v>0</v>
      </c>
      <c r="AV817" s="552">
        <f t="shared" si="4041"/>
        <v>0</v>
      </c>
      <c r="AW817" s="552">
        <f t="shared" si="4041"/>
        <v>0</v>
      </c>
      <c r="AX817" s="552">
        <f t="shared" si="4041"/>
        <v>0</v>
      </c>
      <c r="AY817" s="552">
        <f t="shared" si="4041"/>
        <v>0</v>
      </c>
      <c r="AZ817" s="552">
        <f t="shared" si="4041"/>
        <v>0</v>
      </c>
      <c r="BA817" s="552">
        <f t="shared" si="4041"/>
        <v>0</v>
      </c>
      <c r="BB817" s="552">
        <f t="shared" si="4041"/>
        <v>0</v>
      </c>
      <c r="BC817" s="552">
        <f t="shared" si="4041"/>
        <v>0</v>
      </c>
      <c r="BD817" s="552">
        <f t="shared" si="4041"/>
        <v>0</v>
      </c>
      <c r="BE817" s="552">
        <f t="shared" si="4041"/>
        <v>0</v>
      </c>
      <c r="BF817" s="552">
        <f t="shared" si="4041"/>
        <v>0</v>
      </c>
      <c r="BG817" s="552">
        <f t="shared" si="4041"/>
        <v>0</v>
      </c>
      <c r="BH817" s="552">
        <f t="shared" si="4041"/>
        <v>0</v>
      </c>
      <c r="BI817" s="552">
        <f t="shared" si="4041"/>
        <v>0</v>
      </c>
      <c r="BJ817" s="552">
        <f t="shared" si="4041"/>
        <v>0</v>
      </c>
      <c r="BK817" s="552">
        <f t="shared" si="4041"/>
        <v>0</v>
      </c>
      <c r="BL817" s="552">
        <f t="shared" si="4041"/>
        <v>0</v>
      </c>
      <c r="BM817" s="552">
        <f t="shared" si="4041"/>
        <v>0</v>
      </c>
      <c r="BN817" s="552">
        <f t="shared" si="4041"/>
        <v>29492</v>
      </c>
      <c r="BO817" s="552">
        <f t="shared" si="4041"/>
        <v>0</v>
      </c>
      <c r="BP817" s="552">
        <f t="shared" si="4041"/>
        <v>29492</v>
      </c>
      <c r="BQ817" s="552">
        <f t="shared" si="4041"/>
        <v>180</v>
      </c>
      <c r="BR817" s="552">
        <f t="shared" si="4041"/>
        <v>0</v>
      </c>
      <c r="BS817" s="552">
        <f t="shared" si="4041"/>
        <v>180</v>
      </c>
      <c r="BT817" s="552">
        <f t="shared" si="4041"/>
        <v>0</v>
      </c>
      <c r="BU817" s="552">
        <f t="shared" si="4041"/>
        <v>29492</v>
      </c>
      <c r="BV817" s="552">
        <f t="shared" si="4041"/>
        <v>180</v>
      </c>
      <c r="BW817" s="552">
        <f t="shared" si="4041"/>
        <v>29672</v>
      </c>
      <c r="BX817" s="6"/>
      <c r="BY817" s="6"/>
      <c r="BZ817" s="6"/>
      <c r="CA817" s="6"/>
      <c r="CB817" s="6"/>
      <c r="CC817" s="6"/>
      <c r="CD817" s="6"/>
      <c r="CE817" s="6"/>
      <c r="CF817" s="6"/>
      <c r="CG817" s="6"/>
    </row>
    <row r="818" spans="1:85" ht="15.75" customHeight="1">
      <c r="A818" s="553"/>
      <c r="B818" s="223"/>
      <c r="C818" s="554"/>
      <c r="D818" s="223"/>
      <c r="E818" s="505"/>
      <c r="F818" s="505"/>
      <c r="G818" s="402"/>
      <c r="H818" s="505"/>
      <c r="I818" s="555"/>
      <c r="J818" s="555"/>
      <c r="K818" s="505"/>
      <c r="L818" s="404"/>
      <c r="M818" s="405"/>
      <c r="N818" s="505"/>
      <c r="O818" s="405"/>
      <c r="P818" s="405"/>
      <c r="Q818" s="405"/>
      <c r="R818" s="405"/>
      <c r="S818" s="405"/>
      <c r="T818" s="405"/>
      <c r="U818" s="505"/>
      <c r="V818" s="505"/>
      <c r="W818" s="505"/>
      <c r="X818" s="483"/>
      <c r="Y818" s="483"/>
      <c r="Z818" s="483"/>
      <c r="AA818" s="405"/>
      <c r="AB818" s="405"/>
      <c r="AC818" s="405"/>
      <c r="AD818" s="405"/>
      <c r="AE818" s="513"/>
      <c r="AF818" s="513"/>
      <c r="AG818" s="513"/>
      <c r="AH818" s="513"/>
      <c r="AI818" s="405"/>
      <c r="AJ818" s="405"/>
      <c r="AK818" s="405"/>
      <c r="AL818" s="405"/>
      <c r="AM818" s="405"/>
      <c r="AN818" s="405"/>
      <c r="AO818" s="405"/>
      <c r="AP818" s="405"/>
      <c r="AQ818" s="405"/>
      <c r="AR818" s="405"/>
      <c r="AS818" s="405"/>
      <c r="AT818" s="405"/>
      <c r="AU818" s="405"/>
      <c r="AV818" s="405"/>
      <c r="AW818" s="405"/>
      <c r="AX818" s="405"/>
      <c r="AY818" s="405"/>
      <c r="AZ818" s="405"/>
      <c r="BA818" s="405"/>
      <c r="BB818" s="405"/>
      <c r="BC818" s="405"/>
      <c r="BD818" s="405"/>
      <c r="BE818" s="405"/>
      <c r="BF818" s="405"/>
      <c r="BG818" s="405"/>
      <c r="BH818" s="405"/>
      <c r="BI818" s="405"/>
      <c r="BJ818" s="405"/>
      <c r="BK818" s="405"/>
      <c r="BL818" s="405"/>
      <c r="BM818" s="405"/>
      <c r="BN818" s="405"/>
      <c r="BO818" s="405"/>
      <c r="BP818" s="405"/>
      <c r="BQ818" s="405"/>
      <c r="BR818" s="405"/>
      <c r="BS818" s="405"/>
      <c r="BT818" s="405"/>
      <c r="BU818" s="405"/>
      <c r="BV818" s="405"/>
      <c r="BW818" s="405"/>
      <c r="BX818" s="6"/>
      <c r="BY818" s="6"/>
      <c r="BZ818" s="6"/>
      <c r="CA818" s="6"/>
      <c r="CB818" s="6"/>
      <c r="CC818" s="6"/>
      <c r="CD818" s="6"/>
      <c r="CE818" s="6"/>
      <c r="CF818" s="6"/>
      <c r="CG818" s="6"/>
    </row>
    <row r="819" spans="1:85" ht="15.75" customHeight="1">
      <c r="A819" s="553"/>
      <c r="B819" s="223"/>
      <c r="C819" s="554"/>
      <c r="D819" s="223"/>
      <c r="E819" s="505"/>
      <c r="F819" s="505"/>
      <c r="G819" s="402"/>
      <c r="H819" s="505"/>
      <c r="I819" s="555"/>
      <c r="J819" s="555"/>
      <c r="K819" s="505"/>
      <c r="L819" s="404"/>
      <c r="M819" s="405"/>
      <c r="N819" s="505"/>
      <c r="O819" s="405"/>
      <c r="P819" s="405"/>
      <c r="Q819" s="405"/>
      <c r="R819" s="405"/>
      <c r="S819" s="405"/>
      <c r="T819" s="405"/>
      <c r="U819" s="505"/>
      <c r="V819" s="505"/>
      <c r="W819" s="505"/>
      <c r="X819" s="483"/>
      <c r="Y819" s="483"/>
      <c r="Z819" s="483"/>
      <c r="AA819" s="405"/>
      <c r="AB819" s="405"/>
      <c r="AC819" s="405"/>
      <c r="AD819" s="405"/>
      <c r="AE819" s="445"/>
      <c r="AF819" s="445"/>
      <c r="AG819" s="445"/>
      <c r="AH819" s="445"/>
      <c r="AI819" s="405"/>
      <c r="AJ819" s="405"/>
      <c r="AK819" s="405"/>
      <c r="AL819" s="405"/>
      <c r="AM819" s="405"/>
      <c r="AN819" s="405"/>
      <c r="AO819" s="405"/>
      <c r="AP819" s="405"/>
      <c r="AQ819" s="405"/>
      <c r="AR819" s="405"/>
      <c r="AS819" s="405"/>
      <c r="AT819" s="405"/>
      <c r="AU819" s="405"/>
      <c r="AV819" s="405"/>
      <c r="AW819" s="405"/>
      <c r="AX819" s="405"/>
      <c r="AY819" s="405"/>
      <c r="AZ819" s="405"/>
      <c r="BA819" s="405"/>
      <c r="BB819" s="405"/>
      <c r="BC819" s="405"/>
      <c r="BD819" s="405"/>
      <c r="BE819" s="405"/>
      <c r="BF819" s="405"/>
      <c r="BG819" s="405"/>
      <c r="BH819" s="405"/>
      <c r="BI819" s="405"/>
      <c r="BJ819" s="405"/>
      <c r="BK819" s="405"/>
      <c r="BL819" s="405"/>
      <c r="BM819" s="405"/>
      <c r="BN819" s="405"/>
      <c r="BO819" s="405"/>
      <c r="BP819" s="405"/>
      <c r="BQ819" s="405"/>
      <c r="BR819" s="405"/>
      <c r="BS819" s="405"/>
      <c r="BT819" s="405"/>
      <c r="BU819" s="405"/>
      <c r="BV819" s="405"/>
      <c r="BW819" s="405"/>
      <c r="BX819" s="6"/>
      <c r="BY819" s="6"/>
      <c r="BZ819" s="6"/>
      <c r="CA819" s="6"/>
      <c r="CB819" s="6"/>
      <c r="CC819" s="6"/>
      <c r="CD819" s="6"/>
      <c r="CE819" s="6"/>
      <c r="CF819" s="6"/>
      <c r="CG819" s="6"/>
    </row>
    <row r="820" spans="1:85" ht="15.75" customHeight="1">
      <c r="A820" s="553"/>
      <c r="B820" s="223"/>
      <c r="C820" s="554"/>
      <c r="D820" s="223"/>
      <c r="E820" s="505"/>
      <c r="F820" s="505"/>
      <c r="G820" s="402"/>
      <c r="H820" s="505"/>
      <c r="I820" s="555"/>
      <c r="J820" s="555"/>
      <c r="K820" s="505"/>
      <c r="L820" s="404"/>
      <c r="M820" s="405"/>
      <c r="N820" s="505"/>
      <c r="O820" s="405"/>
      <c r="P820" s="405"/>
      <c r="Q820" s="405"/>
      <c r="R820" s="405"/>
      <c r="S820" s="405"/>
      <c r="T820" s="405"/>
      <c r="U820" s="505"/>
      <c r="V820" s="505"/>
      <c r="W820" s="505"/>
      <c r="X820" s="483"/>
      <c r="Y820" s="483"/>
      <c r="Z820" s="483"/>
      <c r="AA820" s="405"/>
      <c r="AB820" s="405"/>
      <c r="AC820" s="405"/>
      <c r="AD820" s="405"/>
      <c r="AE820" s="445"/>
      <c r="AF820" s="445"/>
      <c r="AG820" s="445"/>
      <c r="AH820" s="445"/>
      <c r="AI820" s="405"/>
      <c r="AJ820" s="405"/>
      <c r="AK820" s="405"/>
      <c r="AL820" s="405"/>
      <c r="AM820" s="405"/>
      <c r="AN820" s="405"/>
      <c r="AO820" s="405"/>
      <c r="AP820" s="405"/>
      <c r="AQ820" s="405"/>
      <c r="AR820" s="405"/>
      <c r="AS820" s="405"/>
      <c r="AT820" s="405"/>
      <c r="AU820" s="405"/>
      <c r="AV820" s="405"/>
      <c r="AW820" s="405"/>
      <c r="AX820" s="405"/>
      <c r="AY820" s="405"/>
      <c r="AZ820" s="405"/>
      <c r="BA820" s="405"/>
      <c r="BB820" s="405"/>
      <c r="BC820" s="405"/>
      <c r="BD820" s="405"/>
      <c r="BE820" s="405"/>
      <c r="BF820" s="405"/>
      <c r="BG820" s="405"/>
      <c r="BH820" s="405"/>
      <c r="BI820" s="405"/>
      <c r="BJ820" s="405"/>
      <c r="BK820" s="405"/>
      <c r="BL820" s="405"/>
      <c r="BM820" s="405"/>
      <c r="BN820" s="405"/>
      <c r="BO820" s="405"/>
      <c r="BP820" s="405"/>
      <c r="BQ820" s="405"/>
      <c r="BR820" s="405"/>
      <c r="BS820" s="405"/>
      <c r="BT820" s="405"/>
      <c r="BU820" s="405"/>
      <c r="BV820" s="405"/>
      <c r="BW820" s="405"/>
      <c r="BX820" s="6"/>
      <c r="BY820" s="6"/>
      <c r="BZ820" s="6"/>
      <c r="CA820" s="6"/>
      <c r="CB820" s="6"/>
      <c r="CC820" s="6"/>
      <c r="CD820" s="6"/>
      <c r="CE820" s="6"/>
      <c r="CF820" s="6"/>
      <c r="CG820" s="6"/>
    </row>
    <row r="821" spans="1:85" ht="15.75" customHeight="1">
      <c r="A821" s="553"/>
      <c r="B821" s="223"/>
      <c r="C821" s="554"/>
      <c r="D821" s="223"/>
      <c r="E821" s="505"/>
      <c r="F821" s="505"/>
      <c r="G821" s="402"/>
      <c r="H821" s="505"/>
      <c r="I821" s="555"/>
      <c r="J821" s="555"/>
      <c r="K821" s="505"/>
      <c r="L821" s="404"/>
      <c r="M821" s="405"/>
      <c r="N821" s="505"/>
      <c r="O821" s="405"/>
      <c r="P821" s="405"/>
      <c r="Q821" s="405"/>
      <c r="R821" s="405"/>
      <c r="S821" s="405"/>
      <c r="T821" s="405"/>
      <c r="U821" s="505"/>
      <c r="V821" s="505"/>
      <c r="W821" s="505"/>
      <c r="X821" s="483"/>
      <c r="Y821" s="483"/>
      <c r="Z821" s="483"/>
      <c r="AA821" s="405"/>
      <c r="AB821" s="405"/>
      <c r="AC821" s="405"/>
      <c r="AD821" s="405"/>
      <c r="AE821" s="445"/>
      <c r="AF821" s="445"/>
      <c r="AG821" s="445"/>
      <c r="AH821" s="445"/>
      <c r="AI821" s="405"/>
      <c r="AJ821" s="405"/>
      <c r="AK821" s="405"/>
      <c r="AL821" s="405"/>
      <c r="AM821" s="405"/>
      <c r="AN821" s="405"/>
      <c r="AO821" s="405"/>
      <c r="AP821" s="405"/>
      <c r="AQ821" s="405"/>
      <c r="AR821" s="405"/>
      <c r="AS821" s="405"/>
      <c r="AT821" s="405"/>
      <c r="AU821" s="405"/>
      <c r="AV821" s="405"/>
      <c r="AW821" s="405"/>
      <c r="AX821" s="405"/>
      <c r="AY821" s="405"/>
      <c r="AZ821" s="405"/>
      <c r="BA821" s="405"/>
      <c r="BB821" s="405"/>
      <c r="BC821" s="405"/>
      <c r="BD821" s="405"/>
      <c r="BE821" s="405"/>
      <c r="BF821" s="405"/>
      <c r="BG821" s="405"/>
      <c r="BH821" s="405"/>
      <c r="BI821" s="405"/>
      <c r="BJ821" s="405"/>
      <c r="BK821" s="405"/>
      <c r="BL821" s="405"/>
      <c r="BM821" s="405"/>
      <c r="BN821" s="405"/>
      <c r="BO821" s="405"/>
      <c r="BP821" s="405"/>
      <c r="BQ821" s="405"/>
      <c r="BR821" s="405"/>
      <c r="BS821" s="405"/>
      <c r="BT821" s="405"/>
      <c r="BU821" s="405"/>
      <c r="BV821" s="405"/>
      <c r="BW821" s="405"/>
      <c r="BX821" s="6"/>
      <c r="BY821" s="6"/>
      <c r="BZ821" s="6"/>
      <c r="CA821" s="6"/>
      <c r="CB821" s="6"/>
      <c r="CC821" s="6"/>
      <c r="CD821" s="6"/>
      <c r="CE821" s="6"/>
      <c r="CF821" s="6"/>
      <c r="CG821" s="6"/>
    </row>
    <row r="822" spans="1:85" ht="15.75" customHeight="1">
      <c r="A822" s="553"/>
      <c r="B822" s="223"/>
      <c r="C822" s="554"/>
      <c r="D822" s="223"/>
      <c r="E822" s="505"/>
      <c r="F822" s="505"/>
      <c r="G822" s="402"/>
      <c r="H822" s="505"/>
      <c r="I822" s="555"/>
      <c r="J822" s="555"/>
      <c r="K822" s="505"/>
      <c r="L822" s="404"/>
      <c r="M822" s="405"/>
      <c r="N822" s="505"/>
      <c r="O822" s="405"/>
      <c r="P822" s="405"/>
      <c r="Q822" s="405"/>
      <c r="R822" s="405"/>
      <c r="S822" s="405"/>
      <c r="T822" s="405"/>
      <c r="U822" s="505"/>
      <c r="V822" s="505"/>
      <c r="W822" s="505"/>
      <c r="X822" s="483"/>
      <c r="Y822" s="483"/>
      <c r="Z822" s="483"/>
      <c r="AA822" s="405"/>
      <c r="AB822" s="405"/>
      <c r="AC822" s="405"/>
      <c r="AD822" s="405"/>
      <c r="AE822" s="445"/>
      <c r="AF822" s="445"/>
      <c r="AG822" s="445"/>
      <c r="AH822" s="445"/>
      <c r="AI822" s="405"/>
      <c r="AJ822" s="405"/>
      <c r="AK822" s="405"/>
      <c r="AL822" s="405"/>
      <c r="AM822" s="405"/>
      <c r="AN822" s="405"/>
      <c r="AO822" s="405"/>
      <c r="AP822" s="405"/>
      <c r="AQ822" s="405"/>
      <c r="AR822" s="405"/>
      <c r="AS822" s="405"/>
      <c r="AT822" s="405"/>
      <c r="AU822" s="405"/>
      <c r="AV822" s="405"/>
      <c r="AW822" s="405"/>
      <c r="AX822" s="405"/>
      <c r="AY822" s="405"/>
      <c r="AZ822" s="405"/>
      <c r="BA822" s="405"/>
      <c r="BB822" s="405"/>
      <c r="BC822" s="405"/>
      <c r="BD822" s="405"/>
      <c r="BE822" s="405"/>
      <c r="BF822" s="405"/>
      <c r="BG822" s="405"/>
      <c r="BH822" s="405"/>
      <c r="BI822" s="405"/>
      <c r="BJ822" s="405"/>
      <c r="BK822" s="405"/>
      <c r="BL822" s="405"/>
      <c r="BM822" s="405"/>
      <c r="BN822" s="405"/>
      <c r="BO822" s="405"/>
      <c r="BP822" s="405"/>
      <c r="BQ822" s="405"/>
      <c r="BR822" s="405"/>
      <c r="BS822" s="405"/>
      <c r="BT822" s="405"/>
      <c r="BU822" s="405"/>
      <c r="BV822" s="405"/>
      <c r="BW822" s="405"/>
      <c r="BX822" s="6"/>
      <c r="BY822" s="6"/>
      <c r="BZ822" s="6"/>
      <c r="CA822" s="6"/>
      <c r="CB822" s="6"/>
      <c r="CC822" s="6"/>
      <c r="CD822" s="6"/>
      <c r="CE822" s="6"/>
      <c r="CF822" s="6"/>
      <c r="CG822" s="6"/>
    </row>
    <row r="823" spans="1:85" ht="15.75" customHeight="1">
      <c r="A823" s="553"/>
      <c r="B823" s="223"/>
      <c r="C823" s="554"/>
      <c r="D823" s="223"/>
      <c r="E823" s="505"/>
      <c r="F823" s="505"/>
      <c r="G823" s="402"/>
      <c r="H823" s="505"/>
      <c r="I823" s="555"/>
      <c r="J823" s="555"/>
      <c r="K823" s="505"/>
      <c r="L823" s="404"/>
      <c r="M823" s="405"/>
      <c r="N823" s="505"/>
      <c r="O823" s="405"/>
      <c r="P823" s="405"/>
      <c r="Q823" s="405"/>
      <c r="R823" s="405"/>
      <c r="S823" s="405"/>
      <c r="T823" s="405"/>
      <c r="U823" s="505"/>
      <c r="V823" s="505"/>
      <c r="W823" s="505"/>
      <c r="X823" s="483"/>
      <c r="Y823" s="483"/>
      <c r="Z823" s="483"/>
      <c r="AA823" s="405"/>
      <c r="AB823" s="405"/>
      <c r="AC823" s="405"/>
      <c r="AD823" s="405"/>
      <c r="AE823" s="445"/>
      <c r="AF823" s="445"/>
      <c r="AG823" s="445"/>
      <c r="AH823" s="445"/>
      <c r="AI823" s="405"/>
      <c r="AJ823" s="405"/>
      <c r="AK823" s="405"/>
      <c r="AL823" s="405"/>
      <c r="AM823" s="405"/>
      <c r="AN823" s="405"/>
      <c r="AO823" s="405"/>
      <c r="AP823" s="405"/>
      <c r="AQ823" s="405"/>
      <c r="AR823" s="405"/>
      <c r="AS823" s="405"/>
      <c r="AT823" s="405"/>
      <c r="AU823" s="405"/>
      <c r="AV823" s="405"/>
      <c r="AW823" s="405"/>
      <c r="AX823" s="405"/>
      <c r="AY823" s="405"/>
      <c r="AZ823" s="405"/>
      <c r="BA823" s="405"/>
      <c r="BB823" s="405"/>
      <c r="BC823" s="405"/>
      <c r="BD823" s="405"/>
      <c r="BE823" s="405"/>
      <c r="BF823" s="405"/>
      <c r="BG823" s="405"/>
      <c r="BH823" s="405"/>
      <c r="BI823" s="405"/>
      <c r="BJ823" s="405"/>
      <c r="BK823" s="405"/>
      <c r="BL823" s="405"/>
      <c r="BM823" s="405"/>
      <c r="BN823" s="405"/>
      <c r="BO823" s="405"/>
      <c r="BP823" s="405"/>
      <c r="BQ823" s="405"/>
      <c r="BR823" s="405"/>
      <c r="BS823" s="405"/>
      <c r="BT823" s="405"/>
      <c r="BU823" s="405"/>
      <c r="BV823" s="405"/>
      <c r="BW823" s="405"/>
      <c r="BX823" s="6"/>
      <c r="BY823" s="6"/>
      <c r="BZ823" s="6"/>
      <c r="CA823" s="6"/>
      <c r="CB823" s="6"/>
      <c r="CC823" s="6"/>
      <c r="CD823" s="6"/>
      <c r="CE823" s="6"/>
      <c r="CF823" s="6"/>
      <c r="CG823" s="6"/>
    </row>
    <row r="824" spans="1:85" ht="15.75" customHeight="1">
      <c r="A824" s="553"/>
      <c r="B824" s="223"/>
      <c r="C824" s="554"/>
      <c r="D824" s="223"/>
      <c r="E824" s="505"/>
      <c r="F824" s="505"/>
      <c r="G824" s="402"/>
      <c r="H824" s="505"/>
      <c r="I824" s="555"/>
      <c r="J824" s="555"/>
      <c r="K824" s="505"/>
      <c r="L824" s="404"/>
      <c r="M824" s="405"/>
      <c r="N824" s="505"/>
      <c r="O824" s="405"/>
      <c r="P824" s="405"/>
      <c r="Q824" s="405"/>
      <c r="R824" s="405"/>
      <c r="S824" s="405"/>
      <c r="T824" s="405"/>
      <c r="U824" s="505"/>
      <c r="V824" s="505"/>
      <c r="W824" s="505"/>
      <c r="X824" s="483"/>
      <c r="Y824" s="483"/>
      <c r="Z824" s="483"/>
      <c r="AA824" s="405"/>
      <c r="AB824" s="405"/>
      <c r="AC824" s="405"/>
      <c r="AD824" s="405"/>
      <c r="AE824" s="445"/>
      <c r="AF824" s="445"/>
      <c r="AG824" s="445"/>
      <c r="AH824" s="445"/>
      <c r="AI824" s="405"/>
      <c r="AJ824" s="405"/>
      <c r="AK824" s="405"/>
      <c r="AL824" s="405"/>
      <c r="AM824" s="405"/>
      <c r="AN824" s="405"/>
      <c r="AO824" s="405"/>
      <c r="AP824" s="405"/>
      <c r="AQ824" s="405"/>
      <c r="AR824" s="405"/>
      <c r="AS824" s="405"/>
      <c r="AT824" s="405"/>
      <c r="AU824" s="405"/>
      <c r="AV824" s="405"/>
      <c r="AW824" s="405"/>
      <c r="AX824" s="405"/>
      <c r="AY824" s="405"/>
      <c r="AZ824" s="405"/>
      <c r="BA824" s="405"/>
      <c r="BB824" s="405"/>
      <c r="BC824" s="405"/>
      <c r="BD824" s="405"/>
      <c r="BE824" s="405"/>
      <c r="BF824" s="405"/>
      <c r="BG824" s="405"/>
      <c r="BH824" s="405"/>
      <c r="BI824" s="405"/>
      <c r="BJ824" s="405"/>
      <c r="BK824" s="405"/>
      <c r="BL824" s="405"/>
      <c r="BM824" s="405"/>
      <c r="BN824" s="405"/>
      <c r="BO824" s="405"/>
      <c r="BP824" s="405"/>
      <c r="BQ824" s="405"/>
      <c r="BR824" s="405"/>
      <c r="BS824" s="405"/>
      <c r="BT824" s="405"/>
      <c r="BU824" s="405"/>
      <c r="BV824" s="405"/>
      <c r="BW824" s="405"/>
      <c r="BX824" s="6"/>
      <c r="BY824" s="6"/>
      <c r="BZ824" s="6"/>
      <c r="CA824" s="6"/>
      <c r="CB824" s="6"/>
      <c r="CC824" s="6"/>
      <c r="CD824" s="6"/>
      <c r="CE824" s="6"/>
      <c r="CF824" s="6"/>
      <c r="CG824" s="6"/>
    </row>
    <row r="825" spans="1:85" ht="15.75" customHeight="1">
      <c r="A825" s="553"/>
      <c r="B825" s="223"/>
      <c r="C825" s="554"/>
      <c r="D825" s="223"/>
      <c r="E825" s="505"/>
      <c r="F825" s="505"/>
      <c r="G825" s="402"/>
      <c r="H825" s="505"/>
      <c r="I825" s="555"/>
      <c r="J825" s="555"/>
      <c r="K825" s="505"/>
      <c r="L825" s="404"/>
      <c r="M825" s="405"/>
      <c r="N825" s="505"/>
      <c r="O825" s="405"/>
      <c r="P825" s="405"/>
      <c r="Q825" s="405"/>
      <c r="R825" s="405"/>
      <c r="S825" s="405"/>
      <c r="T825" s="405"/>
      <c r="U825" s="505"/>
      <c r="V825" s="505"/>
      <c r="W825" s="505"/>
      <c r="X825" s="483"/>
      <c r="Y825" s="483"/>
      <c r="Z825" s="483"/>
      <c r="AA825" s="405"/>
      <c r="AB825" s="405"/>
      <c r="AC825" s="405"/>
      <c r="AD825" s="405"/>
      <c r="AE825" s="445"/>
      <c r="AF825" s="445"/>
      <c r="AG825" s="445"/>
      <c r="AH825" s="445"/>
      <c r="AI825" s="405"/>
      <c r="AJ825" s="405"/>
      <c r="AK825" s="405"/>
      <c r="AL825" s="405"/>
      <c r="AM825" s="405"/>
      <c r="AN825" s="405"/>
      <c r="AO825" s="405"/>
      <c r="AP825" s="405"/>
      <c r="AQ825" s="405"/>
      <c r="AR825" s="405"/>
      <c r="AS825" s="405"/>
      <c r="AT825" s="405"/>
      <c r="AU825" s="405"/>
      <c r="AV825" s="405"/>
      <c r="AW825" s="405"/>
      <c r="AX825" s="405"/>
      <c r="AY825" s="405"/>
      <c r="AZ825" s="405"/>
      <c r="BA825" s="405"/>
      <c r="BB825" s="405"/>
      <c r="BC825" s="405"/>
      <c r="BD825" s="405"/>
      <c r="BE825" s="405"/>
      <c r="BF825" s="405"/>
      <c r="BG825" s="405"/>
      <c r="BH825" s="405"/>
      <c r="BI825" s="405"/>
      <c r="BJ825" s="405"/>
      <c r="BK825" s="405"/>
      <c r="BL825" s="405"/>
      <c r="BM825" s="405"/>
      <c r="BN825" s="405"/>
      <c r="BO825" s="405"/>
      <c r="BP825" s="405"/>
      <c r="BQ825" s="405"/>
      <c r="BR825" s="405"/>
      <c r="BS825" s="405"/>
      <c r="BT825" s="405"/>
      <c r="BU825" s="405"/>
      <c r="BV825" s="405"/>
      <c r="BW825" s="405"/>
      <c r="BX825" s="6"/>
      <c r="BY825" s="6"/>
      <c r="BZ825" s="6"/>
      <c r="CA825" s="6"/>
      <c r="CB825" s="6"/>
      <c r="CC825" s="6"/>
      <c r="CD825" s="6"/>
      <c r="CE825" s="6"/>
      <c r="CF825" s="6"/>
      <c r="CG825" s="6"/>
    </row>
    <row r="826" spans="1:85" ht="15.75" customHeight="1">
      <c r="A826" s="553"/>
      <c r="B826" s="223"/>
      <c r="C826" s="554"/>
      <c r="D826" s="223"/>
      <c r="E826" s="505"/>
      <c r="F826" s="505"/>
      <c r="G826" s="402"/>
      <c r="H826" s="505"/>
      <c r="I826" s="555"/>
      <c r="J826" s="555"/>
      <c r="K826" s="505"/>
      <c r="L826" s="404"/>
      <c r="M826" s="405"/>
      <c r="N826" s="505"/>
      <c r="O826" s="405"/>
      <c r="P826" s="405"/>
      <c r="Q826" s="405"/>
      <c r="R826" s="405"/>
      <c r="S826" s="405"/>
      <c r="T826" s="405"/>
      <c r="U826" s="505"/>
      <c r="V826" s="505"/>
      <c r="W826" s="505"/>
      <c r="X826" s="483"/>
      <c r="Y826" s="483"/>
      <c r="Z826" s="483"/>
      <c r="AA826" s="405"/>
      <c r="AB826" s="405"/>
      <c r="AC826" s="405"/>
      <c r="AD826" s="405"/>
      <c r="AE826" s="445"/>
      <c r="AF826" s="445"/>
      <c r="AG826" s="445"/>
      <c r="AH826" s="445"/>
      <c r="AI826" s="405"/>
      <c r="AJ826" s="405"/>
      <c r="AK826" s="405"/>
      <c r="AL826" s="405"/>
      <c r="AM826" s="405"/>
      <c r="AN826" s="405"/>
      <c r="AO826" s="405"/>
      <c r="AP826" s="405"/>
      <c r="AQ826" s="405"/>
      <c r="AR826" s="405"/>
      <c r="AS826" s="405"/>
      <c r="AT826" s="405"/>
      <c r="AU826" s="405"/>
      <c r="AV826" s="405"/>
      <c r="AW826" s="405"/>
      <c r="AX826" s="405"/>
      <c r="AY826" s="405"/>
      <c r="AZ826" s="405"/>
      <c r="BA826" s="405"/>
      <c r="BB826" s="405"/>
      <c r="BC826" s="405"/>
      <c r="BD826" s="405"/>
      <c r="BE826" s="405"/>
      <c r="BF826" s="405"/>
      <c r="BG826" s="405"/>
      <c r="BH826" s="405"/>
      <c r="BI826" s="405"/>
      <c r="BJ826" s="405"/>
      <c r="BK826" s="405"/>
      <c r="BL826" s="405"/>
      <c r="BM826" s="405"/>
      <c r="BN826" s="405"/>
      <c r="BO826" s="405"/>
      <c r="BP826" s="405"/>
      <c r="BQ826" s="405"/>
      <c r="BR826" s="405"/>
      <c r="BS826" s="405"/>
      <c r="BT826" s="405"/>
      <c r="BU826" s="405"/>
      <c r="BV826" s="405"/>
      <c r="BW826" s="405"/>
      <c r="BX826" s="6"/>
      <c r="BY826" s="6"/>
      <c r="BZ826" s="6"/>
      <c r="CA826" s="6"/>
      <c r="CB826" s="6"/>
      <c r="CC826" s="6"/>
      <c r="CD826" s="6"/>
      <c r="CE826" s="6"/>
      <c r="CF826" s="6"/>
      <c r="CG826" s="6"/>
    </row>
    <row r="827" spans="1:85" ht="15.75" customHeight="1">
      <c r="A827" s="553"/>
      <c r="B827" s="223"/>
      <c r="C827" s="554"/>
      <c r="D827" s="223"/>
      <c r="E827" s="505"/>
      <c r="F827" s="505"/>
      <c r="G827" s="402"/>
      <c r="H827" s="505"/>
      <c r="I827" s="555"/>
      <c r="J827" s="555"/>
      <c r="K827" s="505"/>
      <c r="L827" s="404"/>
      <c r="M827" s="405"/>
      <c r="N827" s="505"/>
      <c r="O827" s="405"/>
      <c r="P827" s="405"/>
      <c r="Q827" s="405"/>
      <c r="R827" s="405"/>
      <c r="S827" s="405"/>
      <c r="T827" s="405"/>
      <c r="U827" s="505"/>
      <c r="V827" s="505"/>
      <c r="W827" s="505"/>
      <c r="X827" s="483"/>
      <c r="Y827" s="483"/>
      <c r="Z827" s="483"/>
      <c r="AA827" s="405"/>
      <c r="AB827" s="405"/>
      <c r="AC827" s="405"/>
      <c r="AD827" s="405"/>
      <c r="AE827" s="445"/>
      <c r="AF827" s="445"/>
      <c r="AG827" s="445"/>
      <c r="AH827" s="445"/>
      <c r="AI827" s="405"/>
      <c r="AJ827" s="405"/>
      <c r="AK827" s="405"/>
      <c r="AL827" s="405"/>
      <c r="AM827" s="405"/>
      <c r="AN827" s="405"/>
      <c r="AO827" s="405"/>
      <c r="AP827" s="405"/>
      <c r="AQ827" s="405"/>
      <c r="AR827" s="405"/>
      <c r="AS827" s="405"/>
      <c r="AT827" s="405"/>
      <c r="AU827" s="405"/>
      <c r="AV827" s="405"/>
      <c r="AW827" s="405"/>
      <c r="AX827" s="405"/>
      <c r="AY827" s="405"/>
      <c r="AZ827" s="405"/>
      <c r="BA827" s="405"/>
      <c r="BB827" s="405"/>
      <c r="BC827" s="405"/>
      <c r="BD827" s="405"/>
      <c r="BE827" s="405"/>
      <c r="BF827" s="405"/>
      <c r="BG827" s="405"/>
      <c r="BH827" s="405"/>
      <c r="BI827" s="405"/>
      <c r="BJ827" s="405"/>
      <c r="BK827" s="405"/>
      <c r="BL827" s="405"/>
      <c r="BM827" s="405"/>
      <c r="BN827" s="405"/>
      <c r="BO827" s="405"/>
      <c r="BP827" s="405"/>
      <c r="BQ827" s="405"/>
      <c r="BR827" s="405"/>
      <c r="BS827" s="405"/>
      <c r="BT827" s="405"/>
      <c r="BU827" s="405"/>
      <c r="BV827" s="405"/>
      <c r="BW827" s="405"/>
      <c r="BX827" s="6"/>
      <c r="BY827" s="6"/>
      <c r="BZ827" s="6"/>
      <c r="CA827" s="6"/>
      <c r="CB827" s="6"/>
      <c r="CC827" s="6"/>
      <c r="CD827" s="6"/>
      <c r="CE827" s="6"/>
      <c r="CF827" s="6"/>
      <c r="CG827" s="6"/>
    </row>
    <row r="828" spans="1:85" ht="15.75" customHeight="1">
      <c r="A828" s="553"/>
      <c r="B828" s="223"/>
      <c r="C828" s="554"/>
      <c r="D828" s="223"/>
      <c r="E828" s="505"/>
      <c r="F828" s="505"/>
      <c r="G828" s="402"/>
      <c r="H828" s="505"/>
      <c r="I828" s="555"/>
      <c r="J828" s="555"/>
      <c r="K828" s="505"/>
      <c r="L828" s="404"/>
      <c r="M828" s="405"/>
      <c r="N828" s="505"/>
      <c r="O828" s="405"/>
      <c r="P828" s="405"/>
      <c r="Q828" s="405"/>
      <c r="R828" s="405"/>
      <c r="S828" s="405"/>
      <c r="T828" s="405"/>
      <c r="U828" s="505"/>
      <c r="V828" s="505"/>
      <c r="W828" s="505"/>
      <c r="X828" s="483"/>
      <c r="Y828" s="483"/>
      <c r="Z828" s="483"/>
      <c r="AA828" s="405"/>
      <c r="AB828" s="405"/>
      <c r="AC828" s="405"/>
      <c r="AD828" s="405"/>
      <c r="AE828" s="445"/>
      <c r="AF828" s="445"/>
      <c r="AG828" s="445"/>
      <c r="AH828" s="445"/>
      <c r="AI828" s="405"/>
      <c r="AJ828" s="405"/>
      <c r="AK828" s="405"/>
      <c r="AL828" s="405"/>
      <c r="AM828" s="405"/>
      <c r="AN828" s="405"/>
      <c r="AO828" s="405"/>
      <c r="AP828" s="405"/>
      <c r="AQ828" s="405"/>
      <c r="AR828" s="405"/>
      <c r="AS828" s="405"/>
      <c r="AT828" s="405"/>
      <c r="AU828" s="405"/>
      <c r="AV828" s="405"/>
      <c r="AW828" s="405"/>
      <c r="AX828" s="405"/>
      <c r="AY828" s="405"/>
      <c r="AZ828" s="405"/>
      <c r="BA828" s="405"/>
      <c r="BB828" s="405"/>
      <c r="BC828" s="405"/>
      <c r="BD828" s="405"/>
      <c r="BE828" s="405"/>
      <c r="BF828" s="405"/>
      <c r="BG828" s="405"/>
      <c r="BH828" s="405"/>
      <c r="BI828" s="405"/>
      <c r="BJ828" s="405"/>
      <c r="BK828" s="405"/>
      <c r="BL828" s="405"/>
      <c r="BM828" s="405"/>
      <c r="BN828" s="405"/>
      <c r="BO828" s="405"/>
      <c r="BP828" s="405"/>
      <c r="BQ828" s="405"/>
      <c r="BR828" s="405"/>
      <c r="BS828" s="405"/>
      <c r="BT828" s="405"/>
      <c r="BU828" s="405"/>
      <c r="BV828" s="405"/>
      <c r="BW828" s="405"/>
      <c r="BX828" s="6"/>
      <c r="BY828" s="6"/>
      <c r="BZ828" s="6"/>
      <c r="CA828" s="6"/>
      <c r="CB828" s="6"/>
      <c r="CC828" s="6"/>
      <c r="CD828" s="6"/>
      <c r="CE828" s="6"/>
      <c r="CF828" s="6"/>
      <c r="CG828" s="6"/>
    </row>
    <row r="829" spans="1:85" ht="15.75" customHeight="1">
      <c r="A829" s="553"/>
      <c r="B829" s="223"/>
      <c r="C829" s="554"/>
      <c r="D829" s="223"/>
      <c r="E829" s="505"/>
      <c r="F829" s="505"/>
      <c r="G829" s="402"/>
      <c r="H829" s="505"/>
      <c r="I829" s="555"/>
      <c r="J829" s="555"/>
      <c r="K829" s="505"/>
      <c r="L829" s="404"/>
      <c r="M829" s="405"/>
      <c r="N829" s="505"/>
      <c r="O829" s="405"/>
      <c r="P829" s="405"/>
      <c r="Q829" s="405"/>
      <c r="R829" s="405"/>
      <c r="S829" s="405"/>
      <c r="T829" s="405"/>
      <c r="U829" s="505"/>
      <c r="V829" s="505"/>
      <c r="W829" s="505"/>
      <c r="X829" s="483"/>
      <c r="Y829" s="483"/>
      <c r="Z829" s="483"/>
      <c r="AA829" s="405"/>
      <c r="AB829" s="405"/>
      <c r="AC829" s="405"/>
      <c r="AD829" s="405"/>
      <c r="AE829" s="445"/>
      <c r="AF829" s="445"/>
      <c r="AG829" s="445"/>
      <c r="AH829" s="445"/>
      <c r="AI829" s="405"/>
      <c r="AJ829" s="405"/>
      <c r="AK829" s="405"/>
      <c r="AL829" s="405"/>
      <c r="AM829" s="405"/>
      <c r="AN829" s="405"/>
      <c r="AO829" s="405"/>
      <c r="AP829" s="405"/>
      <c r="AQ829" s="405"/>
      <c r="AR829" s="405"/>
      <c r="AS829" s="405"/>
      <c r="AT829" s="405"/>
      <c r="AU829" s="405"/>
      <c r="AV829" s="405"/>
      <c r="AW829" s="405"/>
      <c r="AX829" s="405"/>
      <c r="AY829" s="405"/>
      <c r="AZ829" s="405"/>
      <c r="BA829" s="405"/>
      <c r="BB829" s="405"/>
      <c r="BC829" s="405"/>
      <c r="BD829" s="405"/>
      <c r="BE829" s="405"/>
      <c r="BF829" s="405"/>
      <c r="BG829" s="405"/>
      <c r="BH829" s="405"/>
      <c r="BI829" s="405"/>
      <c r="BJ829" s="405"/>
      <c r="BK829" s="405"/>
      <c r="BL829" s="405"/>
      <c r="BM829" s="405"/>
      <c r="BN829" s="405"/>
      <c r="BO829" s="405"/>
      <c r="BP829" s="405"/>
      <c r="BQ829" s="405"/>
      <c r="BR829" s="405"/>
      <c r="BS829" s="405"/>
      <c r="BT829" s="405"/>
      <c r="BU829" s="405"/>
      <c r="BV829" s="405"/>
      <c r="BW829" s="405"/>
      <c r="BX829" s="6"/>
      <c r="BY829" s="6"/>
      <c r="BZ829" s="6"/>
      <c r="CA829" s="6"/>
      <c r="CB829" s="6"/>
      <c r="CC829" s="6"/>
      <c r="CD829" s="6"/>
      <c r="CE829" s="6"/>
      <c r="CF829" s="6"/>
      <c r="CG829" s="6"/>
    </row>
    <row r="830" spans="1:85" ht="15.75" customHeight="1">
      <c r="A830" s="553"/>
      <c r="B830" s="223"/>
      <c r="C830" s="554"/>
      <c r="D830" s="223"/>
      <c r="E830" s="505"/>
      <c r="F830" s="505"/>
      <c r="G830" s="402"/>
      <c r="H830" s="505"/>
      <c r="I830" s="555"/>
      <c r="J830" s="555"/>
      <c r="K830" s="505"/>
      <c r="L830" s="404"/>
      <c r="M830" s="405"/>
      <c r="N830" s="505"/>
      <c r="O830" s="405"/>
      <c r="P830" s="405"/>
      <c r="Q830" s="405"/>
      <c r="R830" s="405"/>
      <c r="S830" s="405"/>
      <c r="T830" s="405"/>
      <c r="U830" s="505"/>
      <c r="V830" s="505"/>
      <c r="W830" s="505"/>
      <c r="X830" s="483"/>
      <c r="Y830" s="483"/>
      <c r="Z830" s="483"/>
      <c r="AA830" s="405"/>
      <c r="AB830" s="405"/>
      <c r="AC830" s="405"/>
      <c r="AD830" s="405"/>
      <c r="AE830" s="445"/>
      <c r="AF830" s="445"/>
      <c r="AG830" s="445"/>
      <c r="AH830" s="445"/>
      <c r="AI830" s="405"/>
      <c r="AJ830" s="405"/>
      <c r="AK830" s="405"/>
      <c r="AL830" s="405"/>
      <c r="AM830" s="405"/>
      <c r="AN830" s="405"/>
      <c r="AO830" s="405"/>
      <c r="AP830" s="405"/>
      <c r="AQ830" s="405"/>
      <c r="AR830" s="405"/>
      <c r="AS830" s="405"/>
      <c r="AT830" s="405"/>
      <c r="AU830" s="405"/>
      <c r="AV830" s="405"/>
      <c r="AW830" s="405"/>
      <c r="AX830" s="405"/>
      <c r="AY830" s="405"/>
      <c r="AZ830" s="405"/>
      <c r="BA830" s="405"/>
      <c r="BB830" s="405"/>
      <c r="BC830" s="405"/>
      <c r="BD830" s="405"/>
      <c r="BE830" s="405"/>
      <c r="BF830" s="405"/>
      <c r="BG830" s="405"/>
      <c r="BH830" s="405"/>
      <c r="BI830" s="405"/>
      <c r="BJ830" s="405"/>
      <c r="BK830" s="405"/>
      <c r="BL830" s="405"/>
      <c r="BM830" s="405"/>
      <c r="BN830" s="405"/>
      <c r="BO830" s="405"/>
      <c r="BP830" s="405"/>
      <c r="BQ830" s="405"/>
      <c r="BR830" s="405"/>
      <c r="BS830" s="405"/>
      <c r="BT830" s="405"/>
      <c r="BU830" s="405"/>
      <c r="BV830" s="405"/>
      <c r="BW830" s="405"/>
      <c r="BX830" s="6"/>
      <c r="BY830" s="6"/>
      <c r="BZ830" s="6"/>
      <c r="CA830" s="6"/>
      <c r="CB830" s="6"/>
      <c r="CC830" s="6"/>
      <c r="CD830" s="6"/>
      <c r="CE830" s="6"/>
      <c r="CF830" s="6"/>
      <c r="CG830" s="6"/>
    </row>
    <row r="831" spans="1:85" ht="15.75" customHeight="1">
      <c r="A831" s="553"/>
      <c r="B831" s="223"/>
      <c r="C831" s="554"/>
      <c r="D831" s="223"/>
      <c r="E831" s="505"/>
      <c r="F831" s="505"/>
      <c r="G831" s="402"/>
      <c r="H831" s="505"/>
      <c r="I831" s="555"/>
      <c r="J831" s="555"/>
      <c r="K831" s="505"/>
      <c r="L831" s="404"/>
      <c r="M831" s="405"/>
      <c r="N831" s="505"/>
      <c r="O831" s="405"/>
      <c r="P831" s="405"/>
      <c r="Q831" s="405"/>
      <c r="R831" s="405"/>
      <c r="S831" s="405"/>
      <c r="T831" s="405"/>
      <c r="U831" s="505"/>
      <c r="V831" s="505"/>
      <c r="W831" s="505"/>
      <c r="X831" s="483"/>
      <c r="Y831" s="483"/>
      <c r="Z831" s="483"/>
      <c r="AA831" s="405"/>
      <c r="AB831" s="405"/>
      <c r="AC831" s="405"/>
      <c r="AD831" s="405"/>
      <c r="AE831" s="445"/>
      <c r="AF831" s="445"/>
      <c r="AG831" s="445"/>
      <c r="AH831" s="445"/>
      <c r="AI831" s="405"/>
      <c r="AJ831" s="405"/>
      <c r="AK831" s="405"/>
      <c r="AL831" s="405"/>
      <c r="AM831" s="405"/>
      <c r="AN831" s="405"/>
      <c r="AO831" s="405"/>
      <c r="AP831" s="405"/>
      <c r="AQ831" s="405"/>
      <c r="AR831" s="405"/>
      <c r="AS831" s="405"/>
      <c r="AT831" s="405"/>
      <c r="AU831" s="405"/>
      <c r="AV831" s="405"/>
      <c r="AW831" s="405"/>
      <c r="AX831" s="405"/>
      <c r="AY831" s="405"/>
      <c r="AZ831" s="405"/>
      <c r="BA831" s="405"/>
      <c r="BB831" s="405"/>
      <c r="BC831" s="405"/>
      <c r="BD831" s="405"/>
      <c r="BE831" s="405"/>
      <c r="BF831" s="405"/>
      <c r="BG831" s="405"/>
      <c r="BH831" s="405"/>
      <c r="BI831" s="405"/>
      <c r="BJ831" s="405"/>
      <c r="BK831" s="405"/>
      <c r="BL831" s="405"/>
      <c r="BM831" s="405"/>
      <c r="BN831" s="405"/>
      <c r="BO831" s="405"/>
      <c r="BP831" s="405"/>
      <c r="BQ831" s="405"/>
      <c r="BR831" s="405"/>
      <c r="BS831" s="405"/>
      <c r="BT831" s="405"/>
      <c r="BU831" s="405"/>
      <c r="BV831" s="405"/>
      <c r="BW831" s="405"/>
      <c r="BX831" s="6"/>
      <c r="BY831" s="6"/>
      <c r="BZ831" s="6"/>
      <c r="CA831" s="6"/>
      <c r="CB831" s="6"/>
      <c r="CC831" s="6"/>
      <c r="CD831" s="6"/>
      <c r="CE831" s="6"/>
      <c r="CF831" s="6"/>
      <c r="CG831" s="6"/>
    </row>
    <row r="832" spans="1:85" ht="15.75" customHeight="1">
      <c r="A832" s="553"/>
      <c r="B832" s="223"/>
      <c r="C832" s="554"/>
      <c r="D832" s="223"/>
      <c r="E832" s="505"/>
      <c r="F832" s="505"/>
      <c r="G832" s="402"/>
      <c r="H832" s="505"/>
      <c r="I832" s="555"/>
      <c r="J832" s="555"/>
      <c r="K832" s="505"/>
      <c r="L832" s="404"/>
      <c r="M832" s="405"/>
      <c r="N832" s="505"/>
      <c r="O832" s="405"/>
      <c r="P832" s="405"/>
      <c r="Q832" s="405"/>
      <c r="R832" s="405"/>
      <c r="S832" s="405"/>
      <c r="T832" s="405"/>
      <c r="U832" s="505"/>
      <c r="V832" s="505"/>
      <c r="W832" s="505"/>
      <c r="X832" s="483"/>
      <c r="Y832" s="483"/>
      <c r="Z832" s="483"/>
      <c r="AA832" s="405"/>
      <c r="AB832" s="405"/>
      <c r="AC832" s="405"/>
      <c r="AD832" s="405"/>
      <c r="AE832" s="445"/>
      <c r="AF832" s="445"/>
      <c r="AG832" s="445"/>
      <c r="AH832" s="445"/>
      <c r="AI832" s="405"/>
      <c r="AJ832" s="405"/>
      <c r="AK832" s="405"/>
      <c r="AL832" s="405"/>
      <c r="AM832" s="405"/>
      <c r="AN832" s="405"/>
      <c r="AO832" s="405"/>
      <c r="AP832" s="405"/>
      <c r="AQ832" s="405"/>
      <c r="AR832" s="405"/>
      <c r="AS832" s="405"/>
      <c r="AT832" s="405"/>
      <c r="AU832" s="405"/>
      <c r="AV832" s="405"/>
      <c r="AW832" s="405"/>
      <c r="AX832" s="405"/>
      <c r="AY832" s="405"/>
      <c r="AZ832" s="405"/>
      <c r="BA832" s="405"/>
      <c r="BB832" s="405"/>
      <c r="BC832" s="405"/>
      <c r="BD832" s="405"/>
      <c r="BE832" s="405"/>
      <c r="BF832" s="405"/>
      <c r="BG832" s="405"/>
      <c r="BH832" s="405"/>
      <c r="BI832" s="405"/>
      <c r="BJ832" s="405"/>
      <c r="BK832" s="405"/>
      <c r="BL832" s="405"/>
      <c r="BM832" s="405"/>
      <c r="BN832" s="405"/>
      <c r="BO832" s="405"/>
      <c r="BP832" s="405"/>
      <c r="BQ832" s="405"/>
      <c r="BR832" s="405"/>
      <c r="BS832" s="405"/>
      <c r="BT832" s="405"/>
      <c r="BU832" s="405"/>
      <c r="BV832" s="405"/>
      <c r="BW832" s="405"/>
      <c r="BX832" s="6"/>
      <c r="BY832" s="6"/>
      <c r="BZ832" s="6"/>
      <c r="CA832" s="6"/>
      <c r="CB832" s="6"/>
      <c r="CC832" s="6"/>
      <c r="CD832" s="6"/>
      <c r="CE832" s="6"/>
      <c r="CF832" s="6"/>
      <c r="CG832" s="6"/>
    </row>
    <row r="833" spans="1:85" ht="15.75" customHeight="1">
      <c r="A833" s="553"/>
      <c r="B833" s="223"/>
      <c r="C833" s="554"/>
      <c r="D833" s="223"/>
      <c r="E833" s="505"/>
      <c r="F833" s="505"/>
      <c r="G833" s="402"/>
      <c r="H833" s="505"/>
      <c r="I833" s="555"/>
      <c r="J833" s="555"/>
      <c r="K833" s="505"/>
      <c r="L833" s="404"/>
      <c r="M833" s="405"/>
      <c r="N833" s="505"/>
      <c r="O833" s="405"/>
      <c r="P833" s="405"/>
      <c r="Q833" s="405"/>
      <c r="R833" s="405"/>
      <c r="S833" s="405"/>
      <c r="T833" s="405"/>
      <c r="U833" s="505"/>
      <c r="V833" s="505"/>
      <c r="W833" s="505"/>
      <c r="X833" s="483"/>
      <c r="Y833" s="483"/>
      <c r="Z833" s="483"/>
      <c r="AA833" s="405"/>
      <c r="AB833" s="405"/>
      <c r="AC833" s="405"/>
      <c r="AD833" s="405"/>
      <c r="AE833" s="445"/>
      <c r="AF833" s="445"/>
      <c r="AG833" s="445"/>
      <c r="AH833" s="445"/>
      <c r="AI833" s="405"/>
      <c r="AJ833" s="405"/>
      <c r="AK833" s="405"/>
      <c r="AL833" s="405"/>
      <c r="AM833" s="405"/>
      <c r="AN833" s="405"/>
      <c r="AO833" s="405"/>
      <c r="AP833" s="405"/>
      <c r="AQ833" s="405"/>
      <c r="AR833" s="405"/>
      <c r="AS833" s="405"/>
      <c r="AT833" s="405"/>
      <c r="AU833" s="405"/>
      <c r="AV833" s="405"/>
      <c r="AW833" s="405"/>
      <c r="AX833" s="405"/>
      <c r="AY833" s="405"/>
      <c r="AZ833" s="405"/>
      <c r="BA833" s="405"/>
      <c r="BB833" s="405"/>
      <c r="BC833" s="405"/>
      <c r="BD833" s="405"/>
      <c r="BE833" s="405"/>
      <c r="BF833" s="405"/>
      <c r="BG833" s="405"/>
      <c r="BH833" s="405"/>
      <c r="BI833" s="405"/>
      <c r="BJ833" s="405"/>
      <c r="BK833" s="405"/>
      <c r="BL833" s="405"/>
      <c r="BM833" s="405"/>
      <c r="BN833" s="405"/>
      <c r="BO833" s="405"/>
      <c r="BP833" s="405"/>
      <c r="BQ833" s="405"/>
      <c r="BR833" s="405"/>
      <c r="BS833" s="405"/>
      <c r="BT833" s="405"/>
      <c r="BU833" s="405"/>
      <c r="BV833" s="405"/>
      <c r="BW833" s="405"/>
      <c r="BX833" s="6"/>
      <c r="BY833" s="6"/>
      <c r="BZ833" s="6"/>
      <c r="CA833" s="6"/>
      <c r="CB833" s="6"/>
      <c r="CC833" s="6"/>
      <c r="CD833" s="6"/>
      <c r="CE833" s="6"/>
      <c r="CF833" s="6"/>
      <c r="CG833" s="6"/>
    </row>
    <row r="834" spans="1:85" ht="15.75" customHeight="1">
      <c r="A834" s="553"/>
      <c r="B834" s="223"/>
      <c r="C834" s="554"/>
      <c r="D834" s="223"/>
      <c r="E834" s="505"/>
      <c r="F834" s="505"/>
      <c r="G834" s="402"/>
      <c r="H834" s="505"/>
      <c r="I834" s="555"/>
      <c r="J834" s="555"/>
      <c r="K834" s="505"/>
      <c r="L834" s="404"/>
      <c r="M834" s="405"/>
      <c r="N834" s="505"/>
      <c r="O834" s="405"/>
      <c r="P834" s="405"/>
      <c r="Q834" s="405"/>
      <c r="R834" s="405"/>
      <c r="S834" s="405"/>
      <c r="T834" s="405"/>
      <c r="U834" s="505"/>
      <c r="V834" s="505"/>
      <c r="W834" s="505"/>
      <c r="X834" s="483"/>
      <c r="Y834" s="483"/>
      <c r="Z834" s="483"/>
      <c r="AA834" s="405"/>
      <c r="AB834" s="405"/>
      <c r="AC834" s="405"/>
      <c r="AD834" s="405"/>
      <c r="AE834" s="445"/>
      <c r="AF834" s="445"/>
      <c r="AG834" s="445"/>
      <c r="AH834" s="445"/>
      <c r="AI834" s="405"/>
      <c r="AJ834" s="405"/>
      <c r="AK834" s="405"/>
      <c r="AL834" s="405"/>
      <c r="AM834" s="405"/>
      <c r="AN834" s="405"/>
      <c r="AO834" s="405"/>
      <c r="AP834" s="405"/>
      <c r="AQ834" s="405"/>
      <c r="AR834" s="405"/>
      <c r="AS834" s="405"/>
      <c r="AT834" s="405"/>
      <c r="AU834" s="405"/>
      <c r="AV834" s="405"/>
      <c r="AW834" s="405"/>
      <c r="AX834" s="405"/>
      <c r="AY834" s="405"/>
      <c r="AZ834" s="405"/>
      <c r="BA834" s="405"/>
      <c r="BB834" s="405"/>
      <c r="BC834" s="405"/>
      <c r="BD834" s="405"/>
      <c r="BE834" s="405"/>
      <c r="BF834" s="405"/>
      <c r="BG834" s="405"/>
      <c r="BH834" s="405"/>
      <c r="BI834" s="405"/>
      <c r="BJ834" s="405"/>
      <c r="BK834" s="405"/>
      <c r="BL834" s="405"/>
      <c r="BM834" s="405"/>
      <c r="BN834" s="405"/>
      <c r="BO834" s="405"/>
      <c r="BP834" s="405"/>
      <c r="BQ834" s="405"/>
      <c r="BR834" s="405"/>
      <c r="BS834" s="405"/>
      <c r="BT834" s="405"/>
      <c r="BU834" s="405"/>
      <c r="BV834" s="405"/>
      <c r="BW834" s="405"/>
      <c r="BX834" s="6"/>
      <c r="BY834" s="6"/>
      <c r="BZ834" s="6"/>
      <c r="CA834" s="6"/>
      <c r="CB834" s="6"/>
      <c r="CC834" s="6"/>
      <c r="CD834" s="6"/>
      <c r="CE834" s="6"/>
      <c r="CF834" s="6"/>
      <c r="CG834" s="6"/>
    </row>
    <row r="835" spans="1:85" ht="15.75" customHeight="1">
      <c r="A835" s="553"/>
      <c r="B835" s="223"/>
      <c r="C835" s="554"/>
      <c r="D835" s="223"/>
      <c r="E835" s="505"/>
      <c r="F835" s="505"/>
      <c r="G835" s="402"/>
      <c r="H835" s="505"/>
      <c r="I835" s="555"/>
      <c r="J835" s="555"/>
      <c r="K835" s="505"/>
      <c r="L835" s="404"/>
      <c r="M835" s="405"/>
      <c r="N835" s="505"/>
      <c r="O835" s="405"/>
      <c r="P835" s="405"/>
      <c r="Q835" s="405"/>
      <c r="R835" s="405"/>
      <c r="S835" s="405"/>
      <c r="T835" s="405"/>
      <c r="U835" s="505"/>
      <c r="V835" s="505"/>
      <c r="W835" s="505"/>
      <c r="X835" s="483"/>
      <c r="Y835" s="483"/>
      <c r="Z835" s="483"/>
      <c r="AA835" s="405"/>
      <c r="AB835" s="405"/>
      <c r="AC835" s="405"/>
      <c r="AD835" s="405"/>
      <c r="AE835" s="445"/>
      <c r="AF835" s="445"/>
      <c r="AG835" s="445"/>
      <c r="AH835" s="445"/>
      <c r="AI835" s="405"/>
      <c r="AJ835" s="405"/>
      <c r="AK835" s="405"/>
      <c r="AL835" s="405"/>
      <c r="AM835" s="405"/>
      <c r="AN835" s="405"/>
      <c r="AO835" s="405"/>
      <c r="AP835" s="405"/>
      <c r="AQ835" s="405"/>
      <c r="AR835" s="405"/>
      <c r="AS835" s="405"/>
      <c r="AT835" s="405"/>
      <c r="AU835" s="405"/>
      <c r="AV835" s="405"/>
      <c r="AW835" s="405"/>
      <c r="AX835" s="405"/>
      <c r="AY835" s="405"/>
      <c r="AZ835" s="405"/>
      <c r="BA835" s="405"/>
      <c r="BB835" s="405"/>
      <c r="BC835" s="405"/>
      <c r="BD835" s="405"/>
      <c r="BE835" s="405"/>
      <c r="BF835" s="405"/>
      <c r="BG835" s="405"/>
      <c r="BH835" s="405"/>
      <c r="BI835" s="405"/>
      <c r="BJ835" s="405"/>
      <c r="BK835" s="405"/>
      <c r="BL835" s="405"/>
      <c r="BM835" s="405"/>
      <c r="BN835" s="405"/>
      <c r="BO835" s="405"/>
      <c r="BP835" s="405"/>
      <c r="BQ835" s="405"/>
      <c r="BR835" s="405"/>
      <c r="BS835" s="405"/>
      <c r="BT835" s="405"/>
      <c r="BU835" s="405"/>
      <c r="BV835" s="405"/>
      <c r="BW835" s="405"/>
      <c r="BX835" s="6"/>
      <c r="BY835" s="6"/>
      <c r="BZ835" s="6"/>
      <c r="CA835" s="6"/>
      <c r="CB835" s="6"/>
      <c r="CC835" s="6"/>
      <c r="CD835" s="6"/>
      <c r="CE835" s="6"/>
      <c r="CF835" s="6"/>
      <c r="CG835" s="6"/>
    </row>
    <row r="836" spans="1:85" ht="15.75" customHeight="1">
      <c r="A836" s="553"/>
      <c r="B836" s="223"/>
      <c r="C836" s="554"/>
      <c r="D836" s="223"/>
      <c r="E836" s="505"/>
      <c r="F836" s="505"/>
      <c r="G836" s="402"/>
      <c r="H836" s="505"/>
      <c r="I836" s="555"/>
      <c r="J836" s="555"/>
      <c r="K836" s="505"/>
      <c r="L836" s="404"/>
      <c r="M836" s="405"/>
      <c r="N836" s="505"/>
      <c r="O836" s="405"/>
      <c r="P836" s="405"/>
      <c r="Q836" s="405"/>
      <c r="R836" s="405"/>
      <c r="S836" s="405"/>
      <c r="T836" s="405"/>
      <c r="U836" s="505"/>
      <c r="V836" s="505"/>
      <c r="W836" s="505"/>
      <c r="X836" s="483"/>
      <c r="Y836" s="483"/>
      <c r="Z836" s="483"/>
      <c r="AA836" s="405"/>
      <c r="AB836" s="405"/>
      <c r="AC836" s="405"/>
      <c r="AD836" s="405"/>
      <c r="AE836" s="445"/>
      <c r="AF836" s="445"/>
      <c r="AG836" s="445"/>
      <c r="AH836" s="445"/>
      <c r="AI836" s="405"/>
      <c r="AJ836" s="405"/>
      <c r="AK836" s="405"/>
      <c r="AL836" s="405"/>
      <c r="AM836" s="405"/>
      <c r="AN836" s="405"/>
      <c r="AO836" s="405"/>
      <c r="AP836" s="405"/>
      <c r="AQ836" s="405"/>
      <c r="AR836" s="405"/>
      <c r="AS836" s="405"/>
      <c r="AT836" s="405"/>
      <c r="AU836" s="405"/>
      <c r="AV836" s="405"/>
      <c r="AW836" s="405"/>
      <c r="AX836" s="405"/>
      <c r="AY836" s="405"/>
      <c r="AZ836" s="405"/>
      <c r="BA836" s="405"/>
      <c r="BB836" s="405"/>
      <c r="BC836" s="405"/>
      <c r="BD836" s="405"/>
      <c r="BE836" s="405"/>
      <c r="BF836" s="405"/>
      <c r="BG836" s="405"/>
      <c r="BH836" s="405"/>
      <c r="BI836" s="405"/>
      <c r="BJ836" s="405"/>
      <c r="BK836" s="405"/>
      <c r="BL836" s="405"/>
      <c r="BM836" s="405"/>
      <c r="BN836" s="405"/>
      <c r="BO836" s="405"/>
      <c r="BP836" s="405"/>
      <c r="BQ836" s="405"/>
      <c r="BR836" s="405"/>
      <c r="BS836" s="405"/>
      <c r="BT836" s="405"/>
      <c r="BU836" s="405"/>
      <c r="BV836" s="405"/>
      <c r="BW836" s="405"/>
      <c r="BX836" s="6"/>
      <c r="BY836" s="6"/>
      <c r="BZ836" s="6"/>
      <c r="CA836" s="6"/>
      <c r="CB836" s="6"/>
      <c r="CC836" s="6"/>
      <c r="CD836" s="6"/>
      <c r="CE836" s="6"/>
      <c r="CF836" s="6"/>
      <c r="CG836" s="6"/>
    </row>
    <row r="837" spans="1:85" ht="15.75" customHeight="1">
      <c r="A837" s="553"/>
      <c r="B837" s="223"/>
      <c r="C837" s="554"/>
      <c r="D837" s="223"/>
      <c r="E837" s="505"/>
      <c r="F837" s="505"/>
      <c r="G837" s="402"/>
      <c r="H837" s="505"/>
      <c r="I837" s="555"/>
      <c r="J837" s="555"/>
      <c r="K837" s="505"/>
      <c r="L837" s="404"/>
      <c r="M837" s="405"/>
      <c r="N837" s="505"/>
      <c r="O837" s="405"/>
      <c r="P837" s="405"/>
      <c r="Q837" s="405"/>
      <c r="R837" s="405"/>
      <c r="S837" s="405"/>
      <c r="T837" s="405"/>
      <c r="U837" s="505"/>
      <c r="V837" s="505"/>
      <c r="W837" s="505"/>
      <c r="X837" s="483"/>
      <c r="Y837" s="483"/>
      <c r="Z837" s="483"/>
      <c r="AA837" s="405"/>
      <c r="AB837" s="405"/>
      <c r="AC837" s="405"/>
      <c r="AD837" s="405"/>
      <c r="AE837" s="445"/>
      <c r="AF837" s="445"/>
      <c r="AG837" s="445"/>
      <c r="AH837" s="445"/>
      <c r="AI837" s="405"/>
      <c r="AJ837" s="405"/>
      <c r="AK837" s="405"/>
      <c r="AL837" s="405"/>
      <c r="AM837" s="405"/>
      <c r="AN837" s="405"/>
      <c r="AO837" s="405"/>
      <c r="AP837" s="405"/>
      <c r="AQ837" s="405"/>
      <c r="AR837" s="405"/>
      <c r="AS837" s="405"/>
      <c r="AT837" s="405"/>
      <c r="AU837" s="405"/>
      <c r="AV837" s="405"/>
      <c r="AW837" s="405"/>
      <c r="AX837" s="405"/>
      <c r="AY837" s="405"/>
      <c r="AZ837" s="405"/>
      <c r="BA837" s="405"/>
      <c r="BB837" s="405"/>
      <c r="BC837" s="405"/>
      <c r="BD837" s="405"/>
      <c r="BE837" s="405"/>
      <c r="BF837" s="405"/>
      <c r="BG837" s="405"/>
      <c r="BH837" s="405"/>
      <c r="BI837" s="405"/>
      <c r="BJ837" s="405"/>
      <c r="BK837" s="405"/>
      <c r="BL837" s="405"/>
      <c r="BM837" s="405"/>
      <c r="BN837" s="405"/>
      <c r="BO837" s="405"/>
      <c r="BP837" s="405"/>
      <c r="BQ837" s="405"/>
      <c r="BR837" s="405"/>
      <c r="BS837" s="405"/>
      <c r="BT837" s="405"/>
      <c r="BU837" s="405"/>
      <c r="BV837" s="405"/>
      <c r="BW837" s="405"/>
      <c r="BX837" s="6"/>
      <c r="BY837" s="6"/>
      <c r="BZ837" s="6"/>
      <c r="CA837" s="6"/>
      <c r="CB837" s="6"/>
      <c r="CC837" s="6"/>
      <c r="CD837" s="6"/>
      <c r="CE837" s="6"/>
      <c r="CF837" s="6"/>
      <c r="CG837" s="6"/>
    </row>
    <row r="838" spans="1:85" ht="15.75" customHeight="1">
      <c r="A838" s="553"/>
      <c r="B838" s="223"/>
      <c r="C838" s="554"/>
      <c r="D838" s="223"/>
      <c r="E838" s="505"/>
      <c r="F838" s="505"/>
      <c r="G838" s="402"/>
      <c r="H838" s="505"/>
      <c r="I838" s="555"/>
      <c r="J838" s="555"/>
      <c r="K838" s="505"/>
      <c r="L838" s="404"/>
      <c r="M838" s="405"/>
      <c r="N838" s="505"/>
      <c r="O838" s="405"/>
      <c r="P838" s="405"/>
      <c r="Q838" s="405"/>
      <c r="R838" s="405"/>
      <c r="S838" s="405"/>
      <c r="T838" s="405"/>
      <c r="U838" s="505"/>
      <c r="V838" s="505"/>
      <c r="W838" s="505"/>
      <c r="X838" s="483"/>
      <c r="Y838" s="483"/>
      <c r="Z838" s="483"/>
      <c r="AA838" s="405"/>
      <c r="AB838" s="405"/>
      <c r="AC838" s="405"/>
      <c r="AD838" s="405"/>
      <c r="AE838" s="445"/>
      <c r="AF838" s="445"/>
      <c r="AG838" s="445"/>
      <c r="AH838" s="445"/>
      <c r="AI838" s="405"/>
      <c r="AJ838" s="405"/>
      <c r="AK838" s="405"/>
      <c r="AL838" s="405"/>
      <c r="AM838" s="405"/>
      <c r="AN838" s="405"/>
      <c r="AO838" s="405"/>
      <c r="AP838" s="405"/>
      <c r="AQ838" s="405"/>
      <c r="AR838" s="405"/>
      <c r="AS838" s="405"/>
      <c r="AT838" s="405"/>
      <c r="AU838" s="405"/>
      <c r="AV838" s="405"/>
      <c r="AW838" s="405"/>
      <c r="AX838" s="405"/>
      <c r="AY838" s="405"/>
      <c r="AZ838" s="405"/>
      <c r="BA838" s="405"/>
      <c r="BB838" s="405"/>
      <c r="BC838" s="405"/>
      <c r="BD838" s="405"/>
      <c r="BE838" s="405"/>
      <c r="BF838" s="405"/>
      <c r="BG838" s="405"/>
      <c r="BH838" s="405"/>
      <c r="BI838" s="405"/>
      <c r="BJ838" s="405"/>
      <c r="BK838" s="405"/>
      <c r="BL838" s="405"/>
      <c r="BM838" s="405"/>
      <c r="BN838" s="405"/>
      <c r="BO838" s="405"/>
      <c r="BP838" s="405"/>
      <c r="BQ838" s="405"/>
      <c r="BR838" s="405"/>
      <c r="BS838" s="405"/>
      <c r="BT838" s="405"/>
      <c r="BU838" s="405"/>
      <c r="BV838" s="405"/>
      <c r="BW838" s="405"/>
      <c r="BX838" s="6"/>
      <c r="BY838" s="6"/>
      <c r="BZ838" s="6"/>
      <c r="CA838" s="6"/>
      <c r="CB838" s="6"/>
      <c r="CC838" s="6"/>
      <c r="CD838" s="6"/>
      <c r="CE838" s="6"/>
      <c r="CF838" s="6"/>
      <c r="CG838" s="6"/>
    </row>
    <row r="839" spans="1:85" ht="15.75" customHeight="1">
      <c r="A839" s="553"/>
      <c r="B839" s="223"/>
      <c r="C839" s="554"/>
      <c r="D839" s="223"/>
      <c r="E839" s="505"/>
      <c r="F839" s="505"/>
      <c r="G839" s="402"/>
      <c r="H839" s="505"/>
      <c r="I839" s="555"/>
      <c r="J839" s="555"/>
      <c r="K839" s="505"/>
      <c r="L839" s="404"/>
      <c r="M839" s="405"/>
      <c r="N839" s="505"/>
      <c r="O839" s="405"/>
      <c r="P839" s="405"/>
      <c r="Q839" s="405"/>
      <c r="R839" s="405"/>
      <c r="S839" s="405"/>
      <c r="T839" s="405"/>
      <c r="U839" s="505"/>
      <c r="V839" s="505"/>
      <c r="W839" s="505"/>
      <c r="X839" s="483"/>
      <c r="Y839" s="483"/>
      <c r="Z839" s="483"/>
      <c r="AA839" s="405"/>
      <c r="AB839" s="405"/>
      <c r="AC839" s="405"/>
      <c r="AD839" s="405"/>
      <c r="AE839" s="445"/>
      <c r="AF839" s="445"/>
      <c r="AG839" s="445"/>
      <c r="AH839" s="445"/>
      <c r="AI839" s="405"/>
      <c r="AJ839" s="405"/>
      <c r="AK839" s="405"/>
      <c r="AL839" s="405"/>
      <c r="AM839" s="405"/>
      <c r="AN839" s="405"/>
      <c r="AO839" s="405"/>
      <c r="AP839" s="405"/>
      <c r="AQ839" s="405"/>
      <c r="AR839" s="405"/>
      <c r="AS839" s="405"/>
      <c r="AT839" s="405"/>
      <c r="AU839" s="405"/>
      <c r="AV839" s="405"/>
      <c r="AW839" s="405"/>
      <c r="AX839" s="405"/>
      <c r="AY839" s="405"/>
      <c r="AZ839" s="405"/>
      <c r="BA839" s="405"/>
      <c r="BB839" s="405"/>
      <c r="BC839" s="405"/>
      <c r="BD839" s="405"/>
      <c r="BE839" s="405"/>
      <c r="BF839" s="405"/>
      <c r="BG839" s="405"/>
      <c r="BH839" s="405"/>
      <c r="BI839" s="405"/>
      <c r="BJ839" s="405"/>
      <c r="BK839" s="405"/>
      <c r="BL839" s="405"/>
      <c r="BM839" s="405"/>
      <c r="BN839" s="405"/>
      <c r="BO839" s="405"/>
      <c r="BP839" s="405"/>
      <c r="BQ839" s="405"/>
      <c r="BR839" s="405"/>
      <c r="BS839" s="405"/>
      <c r="BT839" s="405"/>
      <c r="BU839" s="405"/>
      <c r="BV839" s="405"/>
      <c r="BW839" s="405"/>
      <c r="BX839" s="6"/>
      <c r="BY839" s="6"/>
      <c r="BZ839" s="6"/>
      <c r="CA839" s="6"/>
      <c r="CB839" s="6"/>
      <c r="CC839" s="6"/>
      <c r="CD839" s="6"/>
      <c r="CE839" s="6"/>
      <c r="CF839" s="6"/>
      <c r="CG839" s="6"/>
    </row>
    <row r="840" spans="1:85" ht="15.75" customHeight="1">
      <c r="A840" s="553"/>
      <c r="B840" s="223"/>
      <c r="C840" s="554"/>
      <c r="D840" s="223"/>
      <c r="E840" s="505"/>
      <c r="F840" s="505"/>
      <c r="G840" s="402"/>
      <c r="H840" s="505"/>
      <c r="I840" s="555"/>
      <c r="J840" s="555"/>
      <c r="K840" s="505"/>
      <c r="L840" s="404"/>
      <c r="M840" s="405"/>
      <c r="N840" s="505"/>
      <c r="O840" s="405"/>
      <c r="P840" s="405"/>
      <c r="Q840" s="405"/>
      <c r="R840" s="405"/>
      <c r="S840" s="405"/>
      <c r="T840" s="405"/>
      <c r="U840" s="505"/>
      <c r="V840" s="505"/>
      <c r="W840" s="505"/>
      <c r="X840" s="483"/>
      <c r="Y840" s="483"/>
      <c r="Z840" s="483"/>
      <c r="AA840" s="405"/>
      <c r="AB840" s="405"/>
      <c r="AC840" s="405"/>
      <c r="AD840" s="405"/>
      <c r="AE840" s="445"/>
      <c r="AF840" s="445"/>
      <c r="AG840" s="445"/>
      <c r="AH840" s="445"/>
      <c r="AI840" s="405"/>
      <c r="AJ840" s="405"/>
      <c r="AK840" s="405"/>
      <c r="AL840" s="405"/>
      <c r="AM840" s="405"/>
      <c r="AN840" s="405"/>
      <c r="AO840" s="405"/>
      <c r="AP840" s="405"/>
      <c r="AQ840" s="405"/>
      <c r="AR840" s="405"/>
      <c r="AS840" s="405"/>
      <c r="AT840" s="405"/>
      <c r="AU840" s="405"/>
      <c r="AV840" s="405"/>
      <c r="AW840" s="405"/>
      <c r="AX840" s="405"/>
      <c r="AY840" s="405"/>
      <c r="AZ840" s="405"/>
      <c r="BA840" s="405"/>
      <c r="BB840" s="405"/>
      <c r="BC840" s="405"/>
      <c r="BD840" s="405"/>
      <c r="BE840" s="405"/>
      <c r="BF840" s="405"/>
      <c r="BG840" s="405"/>
      <c r="BH840" s="405"/>
      <c r="BI840" s="405"/>
      <c r="BJ840" s="405"/>
      <c r="BK840" s="405"/>
      <c r="BL840" s="405"/>
      <c r="BM840" s="405"/>
      <c r="BN840" s="405"/>
      <c r="BO840" s="405"/>
      <c r="BP840" s="405"/>
      <c r="BQ840" s="405"/>
      <c r="BR840" s="405"/>
      <c r="BS840" s="405"/>
      <c r="BT840" s="405"/>
      <c r="BU840" s="405"/>
      <c r="BV840" s="405"/>
      <c r="BW840" s="405"/>
      <c r="BX840" s="6"/>
      <c r="BY840" s="6"/>
      <c r="BZ840" s="6"/>
      <c r="CA840" s="6"/>
      <c r="CB840" s="6"/>
      <c r="CC840" s="6"/>
      <c r="CD840" s="6"/>
      <c r="CE840" s="6"/>
      <c r="CF840" s="6"/>
      <c r="CG840" s="6"/>
    </row>
    <row r="841" spans="1:85" ht="15.75" customHeight="1">
      <c r="A841" s="553"/>
      <c r="B841" s="223"/>
      <c r="C841" s="554"/>
      <c r="D841" s="223"/>
      <c r="E841" s="505"/>
      <c r="F841" s="505"/>
      <c r="G841" s="402"/>
      <c r="H841" s="505"/>
      <c r="I841" s="555"/>
      <c r="J841" s="555"/>
      <c r="K841" s="505"/>
      <c r="L841" s="404"/>
      <c r="M841" s="405"/>
      <c r="N841" s="505"/>
      <c r="O841" s="405"/>
      <c r="P841" s="405"/>
      <c r="Q841" s="405"/>
      <c r="R841" s="405"/>
      <c r="S841" s="405"/>
      <c r="T841" s="405"/>
      <c r="U841" s="505"/>
      <c r="V841" s="505"/>
      <c r="W841" s="505"/>
      <c r="X841" s="483"/>
      <c r="Y841" s="483"/>
      <c r="Z841" s="483"/>
      <c r="AA841" s="405"/>
      <c r="AB841" s="405"/>
      <c r="AC841" s="405"/>
      <c r="AD841" s="405"/>
      <c r="AE841" s="445"/>
      <c r="AF841" s="445"/>
      <c r="AG841" s="445"/>
      <c r="AH841" s="445"/>
      <c r="AI841" s="405"/>
      <c r="AJ841" s="405"/>
      <c r="AK841" s="405"/>
      <c r="AL841" s="405"/>
      <c r="AM841" s="405"/>
      <c r="AN841" s="405"/>
      <c r="AO841" s="405"/>
      <c r="AP841" s="405"/>
      <c r="AQ841" s="405"/>
      <c r="AR841" s="405"/>
      <c r="AS841" s="405"/>
      <c r="AT841" s="405"/>
      <c r="AU841" s="405"/>
      <c r="AV841" s="405"/>
      <c r="AW841" s="405"/>
      <c r="AX841" s="405"/>
      <c r="AY841" s="405"/>
      <c r="AZ841" s="405"/>
      <c r="BA841" s="405"/>
      <c r="BB841" s="405"/>
      <c r="BC841" s="405"/>
      <c r="BD841" s="405"/>
      <c r="BE841" s="405"/>
      <c r="BF841" s="405"/>
      <c r="BG841" s="405"/>
      <c r="BH841" s="405"/>
      <c r="BI841" s="405"/>
      <c r="BJ841" s="405"/>
      <c r="BK841" s="405"/>
      <c r="BL841" s="405"/>
      <c r="BM841" s="405"/>
      <c r="BN841" s="405"/>
      <c r="BO841" s="405"/>
      <c r="BP841" s="405"/>
      <c r="BQ841" s="405"/>
      <c r="BR841" s="405"/>
      <c r="BS841" s="405"/>
      <c r="BT841" s="405"/>
      <c r="BU841" s="405"/>
      <c r="BV841" s="405"/>
      <c r="BW841" s="405"/>
      <c r="BX841" s="6"/>
      <c r="BY841" s="6"/>
      <c r="BZ841" s="6"/>
      <c r="CA841" s="6"/>
      <c r="CB841" s="6"/>
      <c r="CC841" s="6"/>
      <c r="CD841" s="6"/>
      <c r="CE841" s="6"/>
      <c r="CF841" s="6"/>
      <c r="CG841" s="6"/>
    </row>
    <row r="842" spans="1:85" ht="15.75" customHeight="1">
      <c r="A842" s="553"/>
      <c r="B842" s="223"/>
      <c r="C842" s="554"/>
      <c r="D842" s="223"/>
      <c r="E842" s="505"/>
      <c r="F842" s="505"/>
      <c r="G842" s="402"/>
      <c r="H842" s="505"/>
      <c r="I842" s="555"/>
      <c r="J842" s="555"/>
      <c r="K842" s="505"/>
      <c r="L842" s="404"/>
      <c r="M842" s="405"/>
      <c r="N842" s="505"/>
      <c r="O842" s="405"/>
      <c r="P842" s="405"/>
      <c r="Q842" s="405"/>
      <c r="R842" s="405"/>
      <c r="S842" s="405"/>
      <c r="T842" s="405"/>
      <c r="U842" s="505"/>
      <c r="V842" s="505"/>
      <c r="W842" s="505"/>
      <c r="X842" s="483"/>
      <c r="Y842" s="483"/>
      <c r="Z842" s="483"/>
      <c r="AA842" s="405"/>
      <c r="AB842" s="405"/>
      <c r="AC842" s="405"/>
      <c r="AD842" s="405"/>
      <c r="AE842" s="445"/>
      <c r="AF842" s="445"/>
      <c r="AG842" s="445"/>
      <c r="AH842" s="445"/>
      <c r="AI842" s="405"/>
      <c r="AJ842" s="405"/>
      <c r="AK842" s="405"/>
      <c r="AL842" s="405"/>
      <c r="AM842" s="405"/>
      <c r="AN842" s="405"/>
      <c r="AO842" s="405"/>
      <c r="AP842" s="405"/>
      <c r="AQ842" s="405"/>
      <c r="AR842" s="405"/>
      <c r="AS842" s="405"/>
      <c r="AT842" s="405"/>
      <c r="AU842" s="405"/>
      <c r="AV842" s="405"/>
      <c r="AW842" s="405"/>
      <c r="AX842" s="405"/>
      <c r="AY842" s="405"/>
      <c r="AZ842" s="405"/>
      <c r="BA842" s="405"/>
      <c r="BB842" s="405"/>
      <c r="BC842" s="405"/>
      <c r="BD842" s="405"/>
      <c r="BE842" s="405"/>
      <c r="BF842" s="405"/>
      <c r="BG842" s="405"/>
      <c r="BH842" s="405"/>
      <c r="BI842" s="405"/>
      <c r="BJ842" s="405"/>
      <c r="BK842" s="405"/>
      <c r="BL842" s="405"/>
      <c r="BM842" s="405"/>
      <c r="BN842" s="405"/>
      <c r="BO842" s="405"/>
      <c r="BP842" s="405"/>
      <c r="BQ842" s="405"/>
      <c r="BR842" s="405"/>
      <c r="BS842" s="405"/>
      <c r="BT842" s="405"/>
      <c r="BU842" s="405"/>
      <c r="BV842" s="405"/>
      <c r="BW842" s="405"/>
      <c r="BX842" s="6"/>
      <c r="BY842" s="6"/>
      <c r="BZ842" s="6"/>
      <c r="CA842" s="6"/>
      <c r="CB842" s="6"/>
      <c r="CC842" s="6"/>
      <c r="CD842" s="6"/>
      <c r="CE842" s="6"/>
      <c r="CF842" s="6"/>
      <c r="CG842" s="6"/>
    </row>
    <row r="843" spans="1:85" ht="15.75" customHeight="1">
      <c r="A843" s="553"/>
      <c r="B843" s="223"/>
      <c r="C843" s="554"/>
      <c r="D843" s="223"/>
      <c r="E843" s="505"/>
      <c r="F843" s="505"/>
      <c r="G843" s="402"/>
      <c r="H843" s="505"/>
      <c r="I843" s="555"/>
      <c r="J843" s="555"/>
      <c r="K843" s="505"/>
      <c r="L843" s="404"/>
      <c r="M843" s="405"/>
      <c r="N843" s="505"/>
      <c r="O843" s="405"/>
      <c r="P843" s="405"/>
      <c r="Q843" s="405"/>
      <c r="R843" s="405"/>
      <c r="S843" s="405"/>
      <c r="T843" s="405"/>
      <c r="U843" s="505"/>
      <c r="V843" s="505"/>
      <c r="W843" s="505"/>
      <c r="X843" s="483"/>
      <c r="Y843" s="483"/>
      <c r="Z843" s="483"/>
      <c r="AA843" s="405"/>
      <c r="AB843" s="405"/>
      <c r="AC843" s="405"/>
      <c r="AD843" s="405"/>
      <c r="AE843" s="445"/>
      <c r="AF843" s="445"/>
      <c r="AG843" s="445"/>
      <c r="AH843" s="445"/>
      <c r="AI843" s="405"/>
      <c r="AJ843" s="405"/>
      <c r="AK843" s="405"/>
      <c r="AL843" s="405"/>
      <c r="AM843" s="405"/>
      <c r="AN843" s="405"/>
      <c r="AO843" s="405"/>
      <c r="AP843" s="405"/>
      <c r="AQ843" s="405"/>
      <c r="AR843" s="405"/>
      <c r="AS843" s="405"/>
      <c r="AT843" s="405"/>
      <c r="AU843" s="405"/>
      <c r="AV843" s="405"/>
      <c r="AW843" s="405"/>
      <c r="AX843" s="405"/>
      <c r="AY843" s="405"/>
      <c r="AZ843" s="405"/>
      <c r="BA843" s="405"/>
      <c r="BB843" s="405"/>
      <c r="BC843" s="405"/>
      <c r="BD843" s="405"/>
      <c r="BE843" s="405"/>
      <c r="BF843" s="405"/>
      <c r="BG843" s="405"/>
      <c r="BH843" s="405"/>
      <c r="BI843" s="405"/>
      <c r="BJ843" s="405"/>
      <c r="BK843" s="405"/>
      <c r="BL843" s="405"/>
      <c r="BM843" s="405"/>
      <c r="BN843" s="405"/>
      <c r="BO843" s="405"/>
      <c r="BP843" s="405"/>
      <c r="BQ843" s="405"/>
      <c r="BR843" s="405"/>
      <c r="BS843" s="405"/>
      <c r="BT843" s="405"/>
      <c r="BU843" s="405"/>
      <c r="BV843" s="405"/>
      <c r="BW843" s="405"/>
      <c r="BX843" s="6"/>
      <c r="BY843" s="6"/>
      <c r="BZ843" s="6"/>
      <c r="CA843" s="6"/>
      <c r="CB843" s="6"/>
      <c r="CC843" s="6"/>
      <c r="CD843" s="6"/>
      <c r="CE843" s="6"/>
      <c r="CF843" s="6"/>
      <c r="CG843" s="6"/>
    </row>
    <row r="844" spans="1:85" ht="15.75" customHeight="1">
      <c r="A844" s="553"/>
      <c r="B844" s="223"/>
      <c r="C844" s="554"/>
      <c r="D844" s="223"/>
      <c r="E844" s="505"/>
      <c r="F844" s="505"/>
      <c r="G844" s="402"/>
      <c r="H844" s="505"/>
      <c r="I844" s="555"/>
      <c r="J844" s="555"/>
      <c r="K844" s="505"/>
      <c r="L844" s="404"/>
      <c r="M844" s="405"/>
      <c r="N844" s="505"/>
      <c r="O844" s="405"/>
      <c r="P844" s="405"/>
      <c r="Q844" s="405"/>
      <c r="R844" s="405"/>
      <c r="S844" s="405"/>
      <c r="T844" s="405"/>
      <c r="U844" s="505"/>
      <c r="V844" s="505"/>
      <c r="W844" s="505"/>
      <c r="X844" s="483"/>
      <c r="Y844" s="483"/>
      <c r="Z844" s="483"/>
      <c r="AA844" s="405"/>
      <c r="AB844" s="405"/>
      <c r="AC844" s="405"/>
      <c r="AD844" s="405"/>
      <c r="AE844" s="445"/>
      <c r="AF844" s="445"/>
      <c r="AG844" s="445"/>
      <c r="AH844" s="445"/>
      <c r="AI844" s="405"/>
      <c r="AJ844" s="405"/>
      <c r="AK844" s="405"/>
      <c r="AL844" s="405"/>
      <c r="AM844" s="405"/>
      <c r="AN844" s="405"/>
      <c r="AO844" s="405"/>
      <c r="AP844" s="405"/>
      <c r="AQ844" s="405"/>
      <c r="AR844" s="405"/>
      <c r="AS844" s="405"/>
      <c r="AT844" s="405"/>
      <c r="AU844" s="405"/>
      <c r="AV844" s="405"/>
      <c r="AW844" s="405"/>
      <c r="AX844" s="405"/>
      <c r="AY844" s="405"/>
      <c r="AZ844" s="405"/>
      <c r="BA844" s="405"/>
      <c r="BB844" s="405"/>
      <c r="BC844" s="405"/>
      <c r="BD844" s="405"/>
      <c r="BE844" s="405"/>
      <c r="BF844" s="405"/>
      <c r="BG844" s="405"/>
      <c r="BH844" s="405"/>
      <c r="BI844" s="405"/>
      <c r="BJ844" s="405"/>
      <c r="BK844" s="405"/>
      <c r="BL844" s="405"/>
      <c r="BM844" s="405"/>
      <c r="BN844" s="405"/>
      <c r="BO844" s="405"/>
      <c r="BP844" s="405"/>
      <c r="BQ844" s="405"/>
      <c r="BR844" s="405"/>
      <c r="BS844" s="405"/>
      <c r="BT844" s="405"/>
      <c r="BU844" s="405"/>
      <c r="BV844" s="405"/>
      <c r="BW844" s="405"/>
      <c r="BX844" s="6"/>
      <c r="BY844" s="6"/>
      <c r="BZ844" s="6"/>
      <c r="CA844" s="6"/>
      <c r="CB844" s="6"/>
      <c r="CC844" s="6"/>
      <c r="CD844" s="6"/>
      <c r="CE844" s="6"/>
      <c r="CF844" s="6"/>
      <c r="CG844" s="6"/>
    </row>
    <row r="845" spans="1:85" ht="15.75" customHeight="1">
      <c r="A845" s="553"/>
      <c r="B845" s="223"/>
      <c r="C845" s="554"/>
      <c r="D845" s="223"/>
      <c r="E845" s="505"/>
      <c r="F845" s="505"/>
      <c r="G845" s="402"/>
      <c r="H845" s="505"/>
      <c r="I845" s="555"/>
      <c r="J845" s="555"/>
      <c r="K845" s="505"/>
      <c r="L845" s="404"/>
      <c r="M845" s="405"/>
      <c r="N845" s="505"/>
      <c r="O845" s="405"/>
      <c r="P845" s="405"/>
      <c r="Q845" s="405"/>
      <c r="R845" s="405"/>
      <c r="S845" s="405"/>
      <c r="T845" s="405"/>
      <c r="U845" s="505"/>
      <c r="V845" s="505"/>
      <c r="W845" s="505"/>
      <c r="X845" s="483"/>
      <c r="Y845" s="483"/>
      <c r="Z845" s="483"/>
      <c r="AA845" s="405"/>
      <c r="AB845" s="405"/>
      <c r="AC845" s="405"/>
      <c r="AD845" s="405"/>
      <c r="AE845" s="445"/>
      <c r="AF845" s="445"/>
      <c r="AG845" s="445"/>
      <c r="AH845" s="445"/>
      <c r="AI845" s="405"/>
      <c r="AJ845" s="405"/>
      <c r="AK845" s="405"/>
      <c r="AL845" s="405"/>
      <c r="AM845" s="405"/>
      <c r="AN845" s="405"/>
      <c r="AO845" s="405"/>
      <c r="AP845" s="405"/>
      <c r="AQ845" s="405"/>
      <c r="AR845" s="405"/>
      <c r="AS845" s="405"/>
      <c r="AT845" s="405"/>
      <c r="AU845" s="405"/>
      <c r="AV845" s="405"/>
      <c r="AW845" s="405"/>
      <c r="AX845" s="405"/>
      <c r="AY845" s="405"/>
      <c r="AZ845" s="405"/>
      <c r="BA845" s="405"/>
      <c r="BB845" s="405"/>
      <c r="BC845" s="405"/>
      <c r="BD845" s="405"/>
      <c r="BE845" s="405"/>
      <c r="BF845" s="405"/>
      <c r="BG845" s="405"/>
      <c r="BH845" s="405"/>
      <c r="BI845" s="405"/>
      <c r="BJ845" s="405"/>
      <c r="BK845" s="405"/>
      <c r="BL845" s="405"/>
      <c r="BM845" s="405"/>
      <c r="BN845" s="405"/>
      <c r="BO845" s="405"/>
      <c r="BP845" s="405"/>
      <c r="BQ845" s="405"/>
      <c r="BR845" s="405"/>
      <c r="BS845" s="405"/>
      <c r="BT845" s="405"/>
      <c r="BU845" s="405"/>
      <c r="BV845" s="405"/>
      <c r="BW845" s="405"/>
      <c r="BX845" s="6"/>
      <c r="BY845" s="6"/>
      <c r="BZ845" s="6"/>
      <c r="CA845" s="6"/>
      <c r="CB845" s="6"/>
      <c r="CC845" s="6"/>
      <c r="CD845" s="6"/>
      <c r="CE845" s="6"/>
      <c r="CF845" s="6"/>
      <c r="CG845" s="6"/>
    </row>
    <row r="846" spans="1:85" ht="15.75" customHeight="1">
      <c r="A846" s="553"/>
      <c r="B846" s="223"/>
      <c r="C846" s="554"/>
      <c r="D846" s="223"/>
      <c r="E846" s="505"/>
      <c r="F846" s="505"/>
      <c r="G846" s="402"/>
      <c r="H846" s="505"/>
      <c r="I846" s="555"/>
      <c r="J846" s="555"/>
      <c r="K846" s="505"/>
      <c r="L846" s="404"/>
      <c r="M846" s="405"/>
      <c r="N846" s="505"/>
      <c r="O846" s="405"/>
      <c r="P846" s="405"/>
      <c r="Q846" s="405"/>
      <c r="R846" s="405"/>
      <c r="S846" s="405"/>
      <c r="T846" s="405"/>
      <c r="U846" s="505"/>
      <c r="V846" s="505"/>
      <c r="W846" s="505"/>
      <c r="X846" s="483"/>
      <c r="Y846" s="483"/>
      <c r="Z846" s="483"/>
      <c r="AA846" s="405"/>
      <c r="AB846" s="405"/>
      <c r="AC846" s="405"/>
      <c r="AD846" s="405"/>
      <c r="AE846" s="445"/>
      <c r="AF846" s="445"/>
      <c r="AG846" s="445"/>
      <c r="AH846" s="445"/>
      <c r="AI846" s="405"/>
      <c r="AJ846" s="405"/>
      <c r="AK846" s="405"/>
      <c r="AL846" s="405"/>
      <c r="AM846" s="405"/>
      <c r="AN846" s="405"/>
      <c r="AO846" s="405"/>
      <c r="AP846" s="405"/>
      <c r="AQ846" s="405"/>
      <c r="AR846" s="405"/>
      <c r="AS846" s="405"/>
      <c r="AT846" s="405"/>
      <c r="AU846" s="405"/>
      <c r="AV846" s="405"/>
      <c r="AW846" s="405"/>
      <c r="AX846" s="405"/>
      <c r="AY846" s="405"/>
      <c r="AZ846" s="405"/>
      <c r="BA846" s="405"/>
      <c r="BB846" s="405"/>
      <c r="BC846" s="405"/>
      <c r="BD846" s="405"/>
      <c r="BE846" s="405"/>
      <c r="BF846" s="405"/>
      <c r="BG846" s="405"/>
      <c r="BH846" s="405"/>
      <c r="BI846" s="405"/>
      <c r="BJ846" s="405"/>
      <c r="BK846" s="405"/>
      <c r="BL846" s="405"/>
      <c r="BM846" s="405"/>
      <c r="BN846" s="405"/>
      <c r="BO846" s="405"/>
      <c r="BP846" s="405"/>
      <c r="BQ846" s="405"/>
      <c r="BR846" s="405"/>
      <c r="BS846" s="405"/>
      <c r="BT846" s="405"/>
      <c r="BU846" s="405"/>
      <c r="BV846" s="405"/>
      <c r="BW846" s="405"/>
      <c r="BX846" s="6"/>
      <c r="BY846" s="6"/>
      <c r="BZ846" s="6"/>
      <c r="CA846" s="6"/>
      <c r="CB846" s="6"/>
      <c r="CC846" s="6"/>
      <c r="CD846" s="6"/>
      <c r="CE846" s="6"/>
      <c r="CF846" s="6"/>
      <c r="CG846" s="6"/>
    </row>
    <row r="847" spans="1:85" ht="15.75" customHeight="1">
      <c r="A847" s="553"/>
      <c r="B847" s="223"/>
      <c r="C847" s="554"/>
      <c r="D847" s="223"/>
      <c r="E847" s="505"/>
      <c r="F847" s="505"/>
      <c r="G847" s="402"/>
      <c r="H847" s="505"/>
      <c r="I847" s="555"/>
      <c r="J847" s="555"/>
      <c r="K847" s="505"/>
      <c r="L847" s="404"/>
      <c r="M847" s="405"/>
      <c r="N847" s="505"/>
      <c r="O847" s="405"/>
      <c r="P847" s="405"/>
      <c r="Q847" s="405"/>
      <c r="R847" s="405"/>
      <c r="S847" s="405"/>
      <c r="T847" s="405"/>
      <c r="U847" s="505"/>
      <c r="V847" s="505"/>
      <c r="W847" s="505"/>
      <c r="X847" s="483"/>
      <c r="Y847" s="483"/>
      <c r="Z847" s="483"/>
      <c r="AA847" s="405"/>
      <c r="AB847" s="405"/>
      <c r="AC847" s="405"/>
      <c r="AD847" s="405"/>
      <c r="AE847" s="445"/>
      <c r="AF847" s="445"/>
      <c r="AG847" s="445"/>
      <c r="AH847" s="445"/>
      <c r="AI847" s="405"/>
      <c r="AJ847" s="405"/>
      <c r="AK847" s="405"/>
      <c r="AL847" s="405"/>
      <c r="AM847" s="405"/>
      <c r="AN847" s="405"/>
      <c r="AO847" s="405"/>
      <c r="AP847" s="405"/>
      <c r="AQ847" s="405"/>
      <c r="AR847" s="405"/>
      <c r="AS847" s="405"/>
      <c r="AT847" s="405"/>
      <c r="AU847" s="405"/>
      <c r="AV847" s="405"/>
      <c r="AW847" s="405"/>
      <c r="AX847" s="405"/>
      <c r="AY847" s="405"/>
      <c r="AZ847" s="405"/>
      <c r="BA847" s="405"/>
      <c r="BB847" s="405"/>
      <c r="BC847" s="405"/>
      <c r="BD847" s="405"/>
      <c r="BE847" s="405"/>
      <c r="BF847" s="405"/>
      <c r="BG847" s="405"/>
      <c r="BH847" s="405"/>
      <c r="BI847" s="405"/>
      <c r="BJ847" s="405"/>
      <c r="BK847" s="405"/>
      <c r="BL847" s="405"/>
      <c r="BM847" s="405"/>
      <c r="BN847" s="405"/>
      <c r="BO847" s="405"/>
      <c r="BP847" s="405"/>
      <c r="BQ847" s="405"/>
      <c r="BR847" s="405"/>
      <c r="BS847" s="405"/>
      <c r="BT847" s="405"/>
      <c r="BU847" s="405"/>
      <c r="BV847" s="405"/>
      <c r="BW847" s="405"/>
      <c r="BX847" s="6"/>
      <c r="BY847" s="6"/>
      <c r="BZ847" s="6"/>
      <c r="CA847" s="6"/>
      <c r="CB847" s="6"/>
      <c r="CC847" s="6"/>
      <c r="CD847" s="6"/>
      <c r="CE847" s="6"/>
      <c r="CF847" s="6"/>
      <c r="CG847" s="6"/>
    </row>
    <row r="848" spans="1:85" ht="15.75" customHeight="1">
      <c r="A848" s="553"/>
      <c r="B848" s="223"/>
      <c r="C848" s="554"/>
      <c r="D848" s="223"/>
      <c r="E848" s="505"/>
      <c r="F848" s="505"/>
      <c r="G848" s="402"/>
      <c r="H848" s="505"/>
      <c r="I848" s="555"/>
      <c r="J848" s="555"/>
      <c r="K848" s="505"/>
      <c r="L848" s="404"/>
      <c r="M848" s="405"/>
      <c r="N848" s="505"/>
      <c r="O848" s="405"/>
      <c r="P848" s="405"/>
      <c r="Q848" s="405"/>
      <c r="R848" s="405"/>
      <c r="S848" s="405"/>
      <c r="T848" s="405"/>
      <c r="U848" s="505"/>
      <c r="V848" s="505"/>
      <c r="W848" s="505"/>
      <c r="X848" s="483"/>
      <c r="Y848" s="483"/>
      <c r="Z848" s="483"/>
      <c r="AA848" s="405"/>
      <c r="AB848" s="405"/>
      <c r="AC848" s="405"/>
      <c r="AD848" s="405"/>
      <c r="AE848" s="445"/>
      <c r="AF848" s="445"/>
      <c r="AG848" s="445"/>
      <c r="AH848" s="445"/>
      <c r="AI848" s="405"/>
      <c r="AJ848" s="405"/>
      <c r="AK848" s="405"/>
      <c r="AL848" s="405"/>
      <c r="AM848" s="405"/>
      <c r="AN848" s="405"/>
      <c r="AO848" s="405"/>
      <c r="AP848" s="405"/>
      <c r="AQ848" s="405"/>
      <c r="AR848" s="405"/>
      <c r="AS848" s="405"/>
      <c r="AT848" s="405"/>
      <c r="AU848" s="405"/>
      <c r="AV848" s="405"/>
      <c r="AW848" s="405"/>
      <c r="AX848" s="405"/>
      <c r="AY848" s="405"/>
      <c r="AZ848" s="405"/>
      <c r="BA848" s="405"/>
      <c r="BB848" s="405"/>
      <c r="BC848" s="405"/>
      <c r="BD848" s="405"/>
      <c r="BE848" s="405"/>
      <c r="BF848" s="405"/>
      <c r="BG848" s="405"/>
      <c r="BH848" s="405"/>
      <c r="BI848" s="405"/>
      <c r="BJ848" s="405"/>
      <c r="BK848" s="405"/>
      <c r="BL848" s="405"/>
      <c r="BM848" s="405"/>
      <c r="BN848" s="405"/>
      <c r="BO848" s="405"/>
      <c r="BP848" s="405"/>
      <c r="BQ848" s="405"/>
      <c r="BR848" s="405"/>
      <c r="BS848" s="405"/>
      <c r="BT848" s="405"/>
      <c r="BU848" s="405"/>
      <c r="BV848" s="405"/>
      <c r="BW848" s="405"/>
      <c r="BX848" s="6"/>
      <c r="BY848" s="6"/>
      <c r="BZ848" s="6"/>
      <c r="CA848" s="6"/>
      <c r="CB848" s="6"/>
      <c r="CC848" s="6"/>
      <c r="CD848" s="6"/>
      <c r="CE848" s="6"/>
      <c r="CF848" s="6"/>
      <c r="CG848" s="6"/>
    </row>
    <row r="849" spans="1:85" ht="15.75" customHeight="1">
      <c r="A849" s="553"/>
      <c r="B849" s="223"/>
      <c r="C849" s="554"/>
      <c r="D849" s="223"/>
      <c r="E849" s="505"/>
      <c r="F849" s="505"/>
      <c r="G849" s="402"/>
      <c r="H849" s="505"/>
      <c r="I849" s="555"/>
      <c r="J849" s="555"/>
      <c r="K849" s="505"/>
      <c r="L849" s="404"/>
      <c r="M849" s="405"/>
      <c r="N849" s="505"/>
      <c r="O849" s="405"/>
      <c r="P849" s="405"/>
      <c r="Q849" s="405"/>
      <c r="R849" s="405"/>
      <c r="S849" s="405"/>
      <c r="T849" s="405"/>
      <c r="U849" s="505"/>
      <c r="V849" s="505"/>
      <c r="W849" s="505"/>
      <c r="X849" s="483"/>
      <c r="Y849" s="483"/>
      <c r="Z849" s="483"/>
      <c r="AA849" s="405"/>
      <c r="AB849" s="405"/>
      <c r="AC849" s="405"/>
      <c r="AD849" s="405"/>
      <c r="AE849" s="445"/>
      <c r="AF849" s="445"/>
      <c r="AG849" s="445"/>
      <c r="AH849" s="445"/>
      <c r="AI849" s="405"/>
      <c r="AJ849" s="405"/>
      <c r="AK849" s="405"/>
      <c r="AL849" s="405"/>
      <c r="AM849" s="405"/>
      <c r="AN849" s="405"/>
      <c r="AO849" s="405"/>
      <c r="AP849" s="405"/>
      <c r="AQ849" s="405"/>
      <c r="AR849" s="405"/>
      <c r="AS849" s="405"/>
      <c r="AT849" s="405"/>
      <c r="AU849" s="405"/>
      <c r="AV849" s="405"/>
      <c r="AW849" s="405"/>
      <c r="AX849" s="405"/>
      <c r="AY849" s="405"/>
      <c r="AZ849" s="405"/>
      <c r="BA849" s="405"/>
      <c r="BB849" s="405"/>
      <c r="BC849" s="405"/>
      <c r="BD849" s="405"/>
      <c r="BE849" s="405"/>
      <c r="BF849" s="405"/>
      <c r="BG849" s="405"/>
      <c r="BH849" s="405"/>
      <c r="BI849" s="405"/>
      <c r="BJ849" s="405"/>
      <c r="BK849" s="405"/>
      <c r="BL849" s="405"/>
      <c r="BM849" s="405"/>
      <c r="BN849" s="405"/>
      <c r="BO849" s="405"/>
      <c r="BP849" s="405"/>
      <c r="BQ849" s="405"/>
      <c r="BR849" s="405"/>
      <c r="BS849" s="405"/>
      <c r="BT849" s="405"/>
      <c r="BU849" s="405"/>
      <c r="BV849" s="405"/>
      <c r="BW849" s="405"/>
      <c r="BX849" s="6"/>
      <c r="BY849" s="6"/>
      <c r="BZ849" s="6"/>
      <c r="CA849" s="6"/>
      <c r="CB849" s="6"/>
      <c r="CC849" s="6"/>
      <c r="CD849" s="6"/>
      <c r="CE849" s="6"/>
      <c r="CF849" s="6"/>
      <c r="CG849" s="6"/>
    </row>
    <row r="850" spans="1:85" ht="15.75" customHeight="1">
      <c r="A850" s="553"/>
      <c r="B850" s="223"/>
      <c r="C850" s="554"/>
      <c r="D850" s="223"/>
      <c r="E850" s="505"/>
      <c r="F850" s="505"/>
      <c r="G850" s="402"/>
      <c r="H850" s="505"/>
      <c r="I850" s="555"/>
      <c r="J850" s="555"/>
      <c r="K850" s="505"/>
      <c r="L850" s="404"/>
      <c r="M850" s="405"/>
      <c r="N850" s="505"/>
      <c r="O850" s="405"/>
      <c r="P850" s="405"/>
      <c r="Q850" s="405"/>
      <c r="R850" s="405"/>
      <c r="S850" s="405"/>
      <c r="T850" s="405"/>
      <c r="U850" s="505"/>
      <c r="V850" s="505"/>
      <c r="W850" s="505"/>
      <c r="X850" s="483"/>
      <c r="Y850" s="483"/>
      <c r="Z850" s="483"/>
      <c r="AA850" s="405"/>
      <c r="AB850" s="405"/>
      <c r="AC850" s="405"/>
      <c r="AD850" s="405"/>
      <c r="AE850" s="445"/>
      <c r="AF850" s="445"/>
      <c r="AG850" s="445"/>
      <c r="AH850" s="445"/>
      <c r="AI850" s="405"/>
      <c r="AJ850" s="405"/>
      <c r="AK850" s="405"/>
      <c r="AL850" s="405"/>
      <c r="AM850" s="405"/>
      <c r="AN850" s="405"/>
      <c r="AO850" s="405"/>
      <c r="AP850" s="405"/>
      <c r="AQ850" s="405"/>
      <c r="AR850" s="405"/>
      <c r="AS850" s="405"/>
      <c r="AT850" s="405"/>
      <c r="AU850" s="405"/>
      <c r="AV850" s="405"/>
      <c r="AW850" s="405"/>
      <c r="AX850" s="405"/>
      <c r="AY850" s="405"/>
      <c r="AZ850" s="405"/>
      <c r="BA850" s="405"/>
      <c r="BB850" s="405"/>
      <c r="BC850" s="405"/>
      <c r="BD850" s="405"/>
      <c r="BE850" s="405"/>
      <c r="BF850" s="405"/>
      <c r="BG850" s="405"/>
      <c r="BH850" s="405"/>
      <c r="BI850" s="405"/>
      <c r="BJ850" s="405"/>
      <c r="BK850" s="405"/>
      <c r="BL850" s="405"/>
      <c r="BM850" s="405"/>
      <c r="BN850" s="405"/>
      <c r="BO850" s="405"/>
      <c r="BP850" s="405"/>
      <c r="BQ850" s="405"/>
      <c r="BR850" s="405"/>
      <c r="BS850" s="405"/>
      <c r="BT850" s="405"/>
      <c r="BU850" s="405"/>
      <c r="BV850" s="405"/>
      <c r="BW850" s="405"/>
      <c r="BX850" s="6"/>
      <c r="BY850" s="6"/>
      <c r="BZ850" s="6"/>
      <c r="CA850" s="6"/>
      <c r="CB850" s="6"/>
      <c r="CC850" s="6"/>
      <c r="CD850" s="6"/>
      <c r="CE850" s="6"/>
      <c r="CF850" s="6"/>
      <c r="CG850" s="6"/>
    </row>
    <row r="851" spans="1:85" ht="15.75" customHeight="1">
      <c r="A851" s="553"/>
      <c r="B851" s="223"/>
      <c r="C851" s="554"/>
      <c r="D851" s="223"/>
      <c r="E851" s="505"/>
      <c r="F851" s="505"/>
      <c r="G851" s="402"/>
      <c r="H851" s="505"/>
      <c r="I851" s="555"/>
      <c r="J851" s="555"/>
      <c r="K851" s="505"/>
      <c r="L851" s="404"/>
      <c r="M851" s="405"/>
      <c r="N851" s="505"/>
      <c r="O851" s="405"/>
      <c r="P851" s="405"/>
      <c r="Q851" s="405"/>
      <c r="R851" s="405"/>
      <c r="S851" s="405"/>
      <c r="T851" s="405"/>
      <c r="U851" s="505"/>
      <c r="V851" s="505"/>
      <c r="W851" s="505"/>
      <c r="X851" s="483"/>
      <c r="Y851" s="483"/>
      <c r="Z851" s="483"/>
      <c r="AA851" s="405"/>
      <c r="AB851" s="405"/>
      <c r="AC851" s="405"/>
      <c r="AD851" s="405"/>
      <c r="AE851" s="445"/>
      <c r="AF851" s="445"/>
      <c r="AG851" s="445"/>
      <c r="AH851" s="445"/>
      <c r="AI851" s="405"/>
      <c r="AJ851" s="405"/>
      <c r="AK851" s="405"/>
      <c r="AL851" s="405"/>
      <c r="AM851" s="405"/>
      <c r="AN851" s="405"/>
      <c r="AO851" s="405"/>
      <c r="AP851" s="405"/>
      <c r="AQ851" s="405"/>
      <c r="AR851" s="405"/>
      <c r="AS851" s="405"/>
      <c r="AT851" s="405"/>
      <c r="AU851" s="405"/>
      <c r="AV851" s="405"/>
      <c r="AW851" s="405"/>
      <c r="AX851" s="405"/>
      <c r="AY851" s="405"/>
      <c r="AZ851" s="405"/>
      <c r="BA851" s="405"/>
      <c r="BB851" s="405"/>
      <c r="BC851" s="405"/>
      <c r="BD851" s="405"/>
      <c r="BE851" s="405"/>
      <c r="BF851" s="405"/>
      <c r="BG851" s="405"/>
      <c r="BH851" s="405"/>
      <c r="BI851" s="405"/>
      <c r="BJ851" s="405"/>
      <c r="BK851" s="405"/>
      <c r="BL851" s="405"/>
      <c r="BM851" s="405"/>
      <c r="BN851" s="405"/>
      <c r="BO851" s="405"/>
      <c r="BP851" s="405"/>
      <c r="BQ851" s="405"/>
      <c r="BR851" s="405"/>
      <c r="BS851" s="405"/>
      <c r="BT851" s="405"/>
      <c r="BU851" s="405"/>
      <c r="BV851" s="405"/>
      <c r="BW851" s="405"/>
      <c r="BX851" s="6"/>
      <c r="BY851" s="6"/>
      <c r="BZ851" s="6"/>
      <c r="CA851" s="6"/>
      <c r="CB851" s="6"/>
      <c r="CC851" s="6"/>
      <c r="CD851" s="6"/>
      <c r="CE851" s="6"/>
      <c r="CF851" s="6"/>
      <c r="CG851" s="6"/>
    </row>
    <row r="852" spans="1:85" ht="15.75" customHeight="1">
      <c r="A852" s="553"/>
      <c r="B852" s="223"/>
      <c r="C852" s="554"/>
      <c r="D852" s="223"/>
      <c r="E852" s="505"/>
      <c r="F852" s="505"/>
      <c r="G852" s="402"/>
      <c r="H852" s="505"/>
      <c r="I852" s="555"/>
      <c r="J852" s="555"/>
      <c r="K852" s="505"/>
      <c r="L852" s="404"/>
      <c r="M852" s="405"/>
      <c r="N852" s="505"/>
      <c r="O852" s="405"/>
      <c r="P852" s="405"/>
      <c r="Q852" s="405"/>
      <c r="R852" s="405"/>
      <c r="S852" s="405"/>
      <c r="T852" s="405"/>
      <c r="U852" s="505"/>
      <c r="V852" s="505"/>
      <c r="W852" s="505"/>
      <c r="X852" s="483"/>
      <c r="Y852" s="483"/>
      <c r="Z852" s="483"/>
      <c r="AA852" s="405"/>
      <c r="AB852" s="405"/>
      <c r="AC852" s="405"/>
      <c r="AD852" s="405"/>
      <c r="AE852" s="445"/>
      <c r="AF852" s="445"/>
      <c r="AG852" s="445"/>
      <c r="AH852" s="445"/>
      <c r="AI852" s="405"/>
      <c r="AJ852" s="405"/>
      <c r="AK852" s="405"/>
      <c r="AL852" s="405"/>
      <c r="AM852" s="405"/>
      <c r="AN852" s="405"/>
      <c r="AO852" s="405"/>
      <c r="AP852" s="405"/>
      <c r="AQ852" s="405"/>
      <c r="AR852" s="405"/>
      <c r="AS852" s="405"/>
      <c r="AT852" s="405"/>
      <c r="AU852" s="405"/>
      <c r="AV852" s="405"/>
      <c r="AW852" s="405"/>
      <c r="AX852" s="405"/>
      <c r="AY852" s="405"/>
      <c r="AZ852" s="405"/>
      <c r="BA852" s="405"/>
      <c r="BB852" s="405"/>
      <c r="BC852" s="405"/>
      <c r="BD852" s="405"/>
      <c r="BE852" s="405"/>
      <c r="BF852" s="405"/>
      <c r="BG852" s="405"/>
      <c r="BH852" s="405"/>
      <c r="BI852" s="405"/>
      <c r="BJ852" s="405"/>
      <c r="BK852" s="405"/>
      <c r="BL852" s="405"/>
      <c r="BM852" s="405"/>
      <c r="BN852" s="405"/>
      <c r="BO852" s="405"/>
      <c r="BP852" s="405"/>
      <c r="BQ852" s="405"/>
      <c r="BR852" s="405"/>
      <c r="BS852" s="405"/>
      <c r="BT852" s="405"/>
      <c r="BU852" s="405"/>
      <c r="BV852" s="405"/>
      <c r="BW852" s="405"/>
      <c r="BX852" s="6"/>
      <c r="BY852" s="6"/>
      <c r="BZ852" s="6"/>
      <c r="CA852" s="6"/>
      <c r="CB852" s="6"/>
      <c r="CC852" s="6"/>
      <c r="CD852" s="6"/>
      <c r="CE852" s="6"/>
      <c r="CF852" s="6"/>
      <c r="CG852" s="6"/>
    </row>
    <row r="853" spans="1:85" ht="15.75" customHeight="1">
      <c r="A853" s="553"/>
      <c r="B853" s="223"/>
      <c r="C853" s="554"/>
      <c r="D853" s="223"/>
      <c r="E853" s="505"/>
      <c r="F853" s="505"/>
      <c r="G853" s="402"/>
      <c r="H853" s="505"/>
      <c r="I853" s="555"/>
      <c r="J853" s="555"/>
      <c r="K853" s="505"/>
      <c r="L853" s="404"/>
      <c r="M853" s="405"/>
      <c r="N853" s="505"/>
      <c r="O853" s="405"/>
      <c r="P853" s="405"/>
      <c r="Q853" s="405"/>
      <c r="R853" s="405"/>
      <c r="S853" s="405"/>
      <c r="T853" s="405"/>
      <c r="U853" s="505"/>
      <c r="V853" s="505"/>
      <c r="W853" s="505"/>
      <c r="X853" s="483"/>
      <c r="Y853" s="483"/>
      <c r="Z853" s="483"/>
      <c r="AA853" s="405"/>
      <c r="AB853" s="405"/>
      <c r="AC853" s="405"/>
      <c r="AD853" s="405"/>
      <c r="AE853" s="445"/>
      <c r="AF853" s="445"/>
      <c r="AG853" s="445"/>
      <c r="AH853" s="445"/>
      <c r="AI853" s="405"/>
      <c r="AJ853" s="405"/>
      <c r="AK853" s="405"/>
      <c r="AL853" s="405"/>
      <c r="AM853" s="405"/>
      <c r="AN853" s="405"/>
      <c r="AO853" s="405"/>
      <c r="AP853" s="405"/>
      <c r="AQ853" s="405"/>
      <c r="AR853" s="405"/>
      <c r="AS853" s="405"/>
      <c r="AT853" s="405"/>
      <c r="AU853" s="405"/>
      <c r="AV853" s="405"/>
      <c r="AW853" s="405"/>
      <c r="AX853" s="405"/>
      <c r="AY853" s="405"/>
      <c r="AZ853" s="405"/>
      <c r="BA853" s="405"/>
      <c r="BB853" s="405"/>
      <c r="BC853" s="405"/>
      <c r="BD853" s="405"/>
      <c r="BE853" s="405"/>
      <c r="BF853" s="405"/>
      <c r="BG853" s="405"/>
      <c r="BH853" s="405"/>
      <c r="BI853" s="405"/>
      <c r="BJ853" s="405"/>
      <c r="BK853" s="405"/>
      <c r="BL853" s="405"/>
      <c r="BM853" s="405"/>
      <c r="BN853" s="405"/>
      <c r="BO853" s="405"/>
      <c r="BP853" s="405"/>
      <c r="BQ853" s="405"/>
      <c r="BR853" s="405"/>
      <c r="BS853" s="405"/>
      <c r="BT853" s="405"/>
      <c r="BU853" s="405"/>
      <c r="BV853" s="405"/>
      <c r="BW853" s="405"/>
      <c r="BX853" s="6"/>
      <c r="BY853" s="6"/>
      <c r="BZ853" s="6"/>
      <c r="CA853" s="6"/>
      <c r="CB853" s="6"/>
      <c r="CC853" s="6"/>
      <c r="CD853" s="6"/>
      <c r="CE853" s="6"/>
      <c r="CF853" s="6"/>
      <c r="CG853" s="6"/>
    </row>
    <row r="854" spans="1:85" ht="15.75" customHeight="1">
      <c r="A854" s="553"/>
      <c r="B854" s="223"/>
      <c r="C854" s="554"/>
      <c r="D854" s="223"/>
      <c r="E854" s="505"/>
      <c r="F854" s="505"/>
      <c r="G854" s="402"/>
      <c r="H854" s="505"/>
      <c r="I854" s="555"/>
      <c r="J854" s="555"/>
      <c r="K854" s="505"/>
      <c r="L854" s="404"/>
      <c r="M854" s="405"/>
      <c r="N854" s="505"/>
      <c r="O854" s="405"/>
      <c r="P854" s="405"/>
      <c r="Q854" s="405"/>
      <c r="R854" s="405"/>
      <c r="S854" s="405"/>
      <c r="T854" s="405"/>
      <c r="U854" s="505"/>
      <c r="V854" s="505"/>
      <c r="W854" s="505"/>
      <c r="X854" s="483"/>
      <c r="Y854" s="483"/>
      <c r="Z854" s="483"/>
      <c r="AA854" s="405"/>
      <c r="AB854" s="405"/>
      <c r="AC854" s="405"/>
      <c r="AD854" s="405"/>
      <c r="AE854" s="445"/>
      <c r="AF854" s="445"/>
      <c r="AG854" s="445"/>
      <c r="AH854" s="445"/>
      <c r="AI854" s="405"/>
      <c r="AJ854" s="405"/>
      <c r="AK854" s="405"/>
      <c r="AL854" s="405"/>
      <c r="AM854" s="405"/>
      <c r="AN854" s="405"/>
      <c r="AO854" s="405"/>
      <c r="AP854" s="405"/>
      <c r="AQ854" s="405"/>
      <c r="AR854" s="405"/>
      <c r="AS854" s="405"/>
      <c r="AT854" s="405"/>
      <c r="AU854" s="405"/>
      <c r="AV854" s="405"/>
      <c r="AW854" s="405"/>
      <c r="AX854" s="405"/>
      <c r="AY854" s="405"/>
      <c r="AZ854" s="405"/>
      <c r="BA854" s="405"/>
      <c r="BB854" s="405"/>
      <c r="BC854" s="405"/>
      <c r="BD854" s="405"/>
      <c r="BE854" s="405"/>
      <c r="BF854" s="405"/>
      <c r="BG854" s="405"/>
      <c r="BH854" s="405"/>
      <c r="BI854" s="405"/>
      <c r="BJ854" s="405"/>
      <c r="BK854" s="405"/>
      <c r="BL854" s="405"/>
      <c r="BM854" s="405"/>
      <c r="BN854" s="405"/>
      <c r="BO854" s="405"/>
      <c r="BP854" s="405"/>
      <c r="BQ854" s="405"/>
      <c r="BR854" s="405"/>
      <c r="BS854" s="405"/>
      <c r="BT854" s="405"/>
      <c r="BU854" s="405"/>
      <c r="BV854" s="405"/>
      <c r="BW854" s="405"/>
      <c r="BX854" s="6"/>
      <c r="BY854" s="6"/>
      <c r="BZ854" s="6"/>
      <c r="CA854" s="6"/>
      <c r="CB854" s="6"/>
      <c r="CC854" s="6"/>
      <c r="CD854" s="6"/>
      <c r="CE854" s="6"/>
      <c r="CF854" s="6"/>
      <c r="CG854" s="6"/>
    </row>
    <row r="855" spans="1:85" ht="15.75" customHeight="1">
      <c r="A855" s="553"/>
      <c r="B855" s="223"/>
      <c r="C855" s="554"/>
      <c r="D855" s="223"/>
      <c r="E855" s="505"/>
      <c r="F855" s="505"/>
      <c r="G855" s="402"/>
      <c r="H855" s="505"/>
      <c r="I855" s="555"/>
      <c r="J855" s="555"/>
      <c r="K855" s="505"/>
      <c r="L855" s="404"/>
      <c r="M855" s="405"/>
      <c r="N855" s="505"/>
      <c r="O855" s="405"/>
      <c r="P855" s="405"/>
      <c r="Q855" s="405"/>
      <c r="R855" s="405"/>
      <c r="S855" s="405"/>
      <c r="T855" s="405"/>
      <c r="U855" s="505"/>
      <c r="V855" s="505"/>
      <c r="W855" s="505"/>
      <c r="X855" s="483"/>
      <c r="Y855" s="483"/>
      <c r="Z855" s="483"/>
      <c r="AA855" s="405"/>
      <c r="AB855" s="405"/>
      <c r="AC855" s="405"/>
      <c r="AD855" s="405"/>
      <c r="AE855" s="445"/>
      <c r="AF855" s="445"/>
      <c r="AG855" s="445"/>
      <c r="AH855" s="445"/>
      <c r="AI855" s="405"/>
      <c r="AJ855" s="405"/>
      <c r="AK855" s="405"/>
      <c r="AL855" s="405"/>
      <c r="AM855" s="405"/>
      <c r="AN855" s="405"/>
      <c r="AO855" s="405"/>
      <c r="AP855" s="405"/>
      <c r="AQ855" s="405"/>
      <c r="AR855" s="405"/>
      <c r="AS855" s="405"/>
      <c r="AT855" s="405"/>
      <c r="AU855" s="405"/>
      <c r="AV855" s="405"/>
      <c r="AW855" s="405"/>
      <c r="AX855" s="405"/>
      <c r="AY855" s="405"/>
      <c r="AZ855" s="405"/>
      <c r="BA855" s="405"/>
      <c r="BB855" s="405"/>
      <c r="BC855" s="405"/>
      <c r="BD855" s="405"/>
      <c r="BE855" s="405"/>
      <c r="BF855" s="405"/>
      <c r="BG855" s="405"/>
      <c r="BH855" s="405"/>
      <c r="BI855" s="405"/>
      <c r="BJ855" s="405"/>
      <c r="BK855" s="405"/>
      <c r="BL855" s="405"/>
      <c r="BM855" s="405"/>
      <c r="BN855" s="405"/>
      <c r="BO855" s="405"/>
      <c r="BP855" s="405"/>
      <c r="BQ855" s="405"/>
      <c r="BR855" s="405"/>
      <c r="BS855" s="405"/>
      <c r="BT855" s="405"/>
      <c r="BU855" s="405"/>
      <c r="BV855" s="405"/>
      <c r="BW855" s="405"/>
      <c r="BX855" s="6"/>
      <c r="BY855" s="6"/>
      <c r="BZ855" s="6"/>
      <c r="CA855" s="6"/>
      <c r="CB855" s="6"/>
      <c r="CC855" s="6"/>
      <c r="CD855" s="6"/>
      <c r="CE855" s="6"/>
      <c r="CF855" s="6"/>
      <c r="CG855" s="6"/>
    </row>
    <row r="856" spans="1:85" ht="15.75" customHeight="1">
      <c r="A856" s="553"/>
      <c r="B856" s="223"/>
      <c r="C856" s="554"/>
      <c r="D856" s="223"/>
      <c r="E856" s="505"/>
      <c r="F856" s="505"/>
      <c r="G856" s="402"/>
      <c r="H856" s="505"/>
      <c r="I856" s="555"/>
      <c r="J856" s="555"/>
      <c r="K856" s="505"/>
      <c r="L856" s="404"/>
      <c r="M856" s="405"/>
      <c r="N856" s="505"/>
      <c r="O856" s="405"/>
      <c r="P856" s="405"/>
      <c r="Q856" s="405"/>
      <c r="R856" s="405"/>
      <c r="S856" s="405"/>
      <c r="T856" s="405"/>
      <c r="U856" s="505"/>
      <c r="V856" s="505"/>
      <c r="W856" s="505"/>
      <c r="X856" s="483"/>
      <c r="Y856" s="483"/>
      <c r="Z856" s="483"/>
      <c r="AA856" s="405"/>
      <c r="AB856" s="405"/>
      <c r="AC856" s="405"/>
      <c r="AD856" s="405"/>
      <c r="AE856" s="445"/>
      <c r="AF856" s="445"/>
      <c r="AG856" s="445"/>
      <c r="AH856" s="445"/>
      <c r="AI856" s="405"/>
      <c r="AJ856" s="405"/>
      <c r="AK856" s="405"/>
      <c r="AL856" s="405"/>
      <c r="AM856" s="405"/>
      <c r="AN856" s="405"/>
      <c r="AO856" s="405"/>
      <c r="AP856" s="405"/>
      <c r="AQ856" s="405"/>
      <c r="AR856" s="405"/>
      <c r="AS856" s="405"/>
      <c r="AT856" s="405"/>
      <c r="AU856" s="405"/>
      <c r="AV856" s="405"/>
      <c r="AW856" s="405"/>
      <c r="AX856" s="405"/>
      <c r="AY856" s="405"/>
      <c r="AZ856" s="405"/>
      <c r="BA856" s="405"/>
      <c r="BB856" s="405"/>
      <c r="BC856" s="405"/>
      <c r="BD856" s="405"/>
      <c r="BE856" s="405"/>
      <c r="BF856" s="405"/>
      <c r="BG856" s="405"/>
      <c r="BH856" s="405"/>
      <c r="BI856" s="405"/>
      <c r="BJ856" s="405"/>
      <c r="BK856" s="405"/>
      <c r="BL856" s="405"/>
      <c r="BM856" s="405"/>
      <c r="BN856" s="405"/>
      <c r="BO856" s="405"/>
      <c r="BP856" s="405"/>
      <c r="BQ856" s="405"/>
      <c r="BR856" s="405"/>
      <c r="BS856" s="405"/>
      <c r="BT856" s="405"/>
      <c r="BU856" s="405"/>
      <c r="BV856" s="405"/>
      <c r="BW856" s="405"/>
      <c r="BX856" s="6"/>
      <c r="BY856" s="6"/>
      <c r="BZ856" s="6"/>
      <c r="CA856" s="6"/>
      <c r="CB856" s="6"/>
      <c r="CC856" s="6"/>
      <c r="CD856" s="6"/>
      <c r="CE856" s="6"/>
      <c r="CF856" s="6"/>
      <c r="CG856" s="6"/>
    </row>
    <row r="857" spans="1:85" ht="15.75" customHeight="1">
      <c r="A857" s="553"/>
      <c r="B857" s="223"/>
      <c r="C857" s="554"/>
      <c r="D857" s="223"/>
      <c r="E857" s="505"/>
      <c r="F857" s="505"/>
      <c r="G857" s="402"/>
      <c r="H857" s="505"/>
      <c r="I857" s="555"/>
      <c r="J857" s="555"/>
      <c r="K857" s="505"/>
      <c r="L857" s="404"/>
      <c r="M857" s="405"/>
      <c r="N857" s="505"/>
      <c r="O857" s="405"/>
      <c r="P857" s="405"/>
      <c r="Q857" s="405"/>
      <c r="R857" s="405"/>
      <c r="S857" s="405"/>
      <c r="T857" s="405"/>
      <c r="U857" s="505"/>
      <c r="V857" s="505"/>
      <c r="W857" s="505"/>
      <c r="X857" s="483"/>
      <c r="Y857" s="483"/>
      <c r="Z857" s="483"/>
      <c r="AA857" s="405"/>
      <c r="AB857" s="405"/>
      <c r="AC857" s="405"/>
      <c r="AD857" s="405"/>
      <c r="AE857" s="445"/>
      <c r="AF857" s="445"/>
      <c r="AG857" s="445"/>
      <c r="AH857" s="445"/>
      <c r="AI857" s="405"/>
      <c r="AJ857" s="405"/>
      <c r="AK857" s="405"/>
      <c r="AL857" s="405"/>
      <c r="AM857" s="405"/>
      <c r="AN857" s="405"/>
      <c r="AO857" s="405"/>
      <c r="AP857" s="405"/>
      <c r="AQ857" s="405"/>
      <c r="AR857" s="405"/>
      <c r="AS857" s="405"/>
      <c r="AT857" s="405"/>
      <c r="AU857" s="405"/>
      <c r="AV857" s="405"/>
      <c r="AW857" s="405"/>
      <c r="AX857" s="405"/>
      <c r="AY857" s="405"/>
      <c r="AZ857" s="405"/>
      <c r="BA857" s="405"/>
      <c r="BB857" s="405"/>
      <c r="BC857" s="405"/>
      <c r="BD857" s="405"/>
      <c r="BE857" s="405"/>
      <c r="BF857" s="405"/>
      <c r="BG857" s="405"/>
      <c r="BH857" s="405"/>
      <c r="BI857" s="405"/>
      <c r="BJ857" s="405"/>
      <c r="BK857" s="405"/>
      <c r="BL857" s="405"/>
      <c r="BM857" s="405"/>
      <c r="BN857" s="405"/>
      <c r="BO857" s="405"/>
      <c r="BP857" s="405"/>
      <c r="BQ857" s="405"/>
      <c r="BR857" s="405"/>
      <c r="BS857" s="405"/>
      <c r="BT857" s="405"/>
      <c r="BU857" s="405"/>
      <c r="BV857" s="405"/>
      <c r="BW857" s="405"/>
      <c r="BX857" s="6"/>
      <c r="BY857" s="6"/>
      <c r="BZ857" s="6"/>
      <c r="CA857" s="6"/>
      <c r="CB857" s="6"/>
      <c r="CC857" s="6"/>
      <c r="CD857" s="6"/>
      <c r="CE857" s="6"/>
      <c r="CF857" s="6"/>
      <c r="CG857" s="6"/>
    </row>
    <row r="858" spans="1:85" ht="15.75" customHeight="1">
      <c r="A858" s="553"/>
      <c r="B858" s="223"/>
      <c r="C858" s="554"/>
      <c r="D858" s="223"/>
      <c r="E858" s="505"/>
      <c r="F858" s="505"/>
      <c r="G858" s="402"/>
      <c r="H858" s="505"/>
      <c r="I858" s="555"/>
      <c r="J858" s="555"/>
      <c r="K858" s="505"/>
      <c r="L858" s="404"/>
      <c r="M858" s="405"/>
      <c r="N858" s="505"/>
      <c r="O858" s="405"/>
      <c r="P858" s="405"/>
      <c r="Q858" s="405"/>
      <c r="R858" s="405"/>
      <c r="S858" s="405"/>
      <c r="T858" s="405"/>
      <c r="U858" s="505"/>
      <c r="V858" s="505"/>
      <c r="W858" s="505"/>
      <c r="X858" s="483"/>
      <c r="Y858" s="483"/>
      <c r="Z858" s="483"/>
      <c r="AA858" s="405"/>
      <c r="AB858" s="405"/>
      <c r="AC858" s="405"/>
      <c r="AD858" s="405"/>
      <c r="AE858" s="445"/>
      <c r="AF858" s="445"/>
      <c r="AG858" s="445"/>
      <c r="AH858" s="445"/>
      <c r="AI858" s="405"/>
      <c r="AJ858" s="405"/>
      <c r="AK858" s="405"/>
      <c r="AL858" s="405"/>
      <c r="AM858" s="405"/>
      <c r="AN858" s="405"/>
      <c r="AO858" s="405"/>
      <c r="AP858" s="405"/>
      <c r="AQ858" s="405"/>
      <c r="AR858" s="405"/>
      <c r="AS858" s="405"/>
      <c r="AT858" s="405"/>
      <c r="AU858" s="405"/>
      <c r="AV858" s="405"/>
      <c r="AW858" s="405"/>
      <c r="AX858" s="405"/>
      <c r="AY858" s="405"/>
      <c r="AZ858" s="405"/>
      <c r="BA858" s="405"/>
      <c r="BB858" s="405"/>
      <c r="BC858" s="405"/>
      <c r="BD858" s="405"/>
      <c r="BE858" s="405"/>
      <c r="BF858" s="405"/>
      <c r="BG858" s="405"/>
      <c r="BH858" s="405"/>
      <c r="BI858" s="405"/>
      <c r="BJ858" s="405"/>
      <c r="BK858" s="405"/>
      <c r="BL858" s="405"/>
      <c r="BM858" s="405"/>
      <c r="BN858" s="405"/>
      <c r="BO858" s="405"/>
      <c r="BP858" s="405"/>
      <c r="BQ858" s="405"/>
      <c r="BR858" s="405"/>
      <c r="BS858" s="405"/>
      <c r="BT858" s="405"/>
      <c r="BU858" s="405"/>
      <c r="BV858" s="405"/>
      <c r="BW858" s="405"/>
      <c r="BX858" s="6"/>
      <c r="BY858" s="6"/>
      <c r="BZ858" s="6"/>
      <c r="CA858" s="6"/>
      <c r="CB858" s="6"/>
      <c r="CC858" s="6"/>
      <c r="CD858" s="6"/>
      <c r="CE858" s="6"/>
      <c r="CF858" s="6"/>
      <c r="CG858" s="6"/>
    </row>
    <row r="859" spans="1:85" ht="15.75" customHeight="1">
      <c r="A859" s="553"/>
      <c r="B859" s="223"/>
      <c r="C859" s="554"/>
      <c r="D859" s="223"/>
      <c r="E859" s="505"/>
      <c r="F859" s="505"/>
      <c r="G859" s="402"/>
      <c r="H859" s="505"/>
      <c r="I859" s="555"/>
      <c r="J859" s="555"/>
      <c r="K859" s="505"/>
      <c r="L859" s="404"/>
      <c r="M859" s="405"/>
      <c r="N859" s="505"/>
      <c r="O859" s="405"/>
      <c r="P859" s="405"/>
      <c r="Q859" s="405"/>
      <c r="R859" s="405"/>
      <c r="S859" s="405"/>
      <c r="T859" s="405"/>
      <c r="U859" s="505"/>
      <c r="V859" s="505"/>
      <c r="W859" s="505"/>
      <c r="X859" s="483"/>
      <c r="Y859" s="483"/>
      <c r="Z859" s="483"/>
      <c r="AA859" s="405"/>
      <c r="AB859" s="405"/>
      <c r="AC859" s="405"/>
      <c r="AD859" s="405"/>
      <c r="AE859" s="445"/>
      <c r="AF859" s="445"/>
      <c r="AG859" s="445"/>
      <c r="AH859" s="445"/>
      <c r="AI859" s="405"/>
      <c r="AJ859" s="405"/>
      <c r="AK859" s="405"/>
      <c r="AL859" s="405"/>
      <c r="AM859" s="405"/>
      <c r="AN859" s="405"/>
      <c r="AO859" s="405"/>
      <c r="AP859" s="405"/>
      <c r="AQ859" s="405"/>
      <c r="AR859" s="405"/>
      <c r="AS859" s="405"/>
      <c r="AT859" s="405"/>
      <c r="AU859" s="405"/>
      <c r="AV859" s="405"/>
      <c r="AW859" s="405"/>
      <c r="AX859" s="405"/>
      <c r="AY859" s="405"/>
      <c r="AZ859" s="405"/>
      <c r="BA859" s="405"/>
      <c r="BB859" s="405"/>
      <c r="BC859" s="405"/>
      <c r="BD859" s="405"/>
      <c r="BE859" s="405"/>
      <c r="BF859" s="405"/>
      <c r="BG859" s="405"/>
      <c r="BH859" s="405"/>
      <c r="BI859" s="405"/>
      <c r="BJ859" s="405"/>
      <c r="BK859" s="405"/>
      <c r="BL859" s="405"/>
      <c r="BM859" s="405"/>
      <c r="BN859" s="405"/>
      <c r="BO859" s="405"/>
      <c r="BP859" s="405"/>
      <c r="BQ859" s="405"/>
      <c r="BR859" s="405"/>
      <c r="BS859" s="405"/>
      <c r="BT859" s="405"/>
      <c r="BU859" s="405"/>
      <c r="BV859" s="405"/>
      <c r="BW859" s="405"/>
      <c r="BX859" s="6"/>
      <c r="BY859" s="6"/>
      <c r="BZ859" s="6"/>
      <c r="CA859" s="6"/>
      <c r="CB859" s="6"/>
      <c r="CC859" s="6"/>
      <c r="CD859" s="6"/>
      <c r="CE859" s="6"/>
      <c r="CF859" s="6"/>
      <c r="CG859" s="6"/>
    </row>
    <row r="860" spans="1:85" ht="15.75" customHeight="1">
      <c r="A860" s="553"/>
      <c r="B860" s="223"/>
      <c r="C860" s="554"/>
      <c r="D860" s="223"/>
      <c r="E860" s="505"/>
      <c r="F860" s="505"/>
      <c r="G860" s="402"/>
      <c r="H860" s="505"/>
      <c r="I860" s="555"/>
      <c r="J860" s="555"/>
      <c r="K860" s="505"/>
      <c r="L860" s="404"/>
      <c r="M860" s="405"/>
      <c r="N860" s="505"/>
      <c r="O860" s="405"/>
      <c r="P860" s="405"/>
      <c r="Q860" s="405"/>
      <c r="R860" s="405"/>
      <c r="S860" s="405"/>
      <c r="T860" s="405"/>
      <c r="U860" s="505"/>
      <c r="V860" s="505"/>
      <c r="W860" s="505"/>
      <c r="X860" s="483"/>
      <c r="Y860" s="483"/>
      <c r="Z860" s="483"/>
      <c r="AA860" s="405"/>
      <c r="AB860" s="405"/>
      <c r="AC860" s="405"/>
      <c r="AD860" s="405"/>
      <c r="AE860" s="445"/>
      <c r="AF860" s="445"/>
      <c r="AG860" s="445"/>
      <c r="AH860" s="445"/>
      <c r="AI860" s="405"/>
      <c r="AJ860" s="405"/>
      <c r="AK860" s="405"/>
      <c r="AL860" s="405"/>
      <c r="AM860" s="405"/>
      <c r="AN860" s="405"/>
      <c r="AO860" s="405"/>
      <c r="AP860" s="405"/>
      <c r="AQ860" s="405"/>
      <c r="AR860" s="405"/>
      <c r="AS860" s="405"/>
      <c r="AT860" s="405"/>
      <c r="AU860" s="405"/>
      <c r="AV860" s="405"/>
      <c r="AW860" s="405"/>
      <c r="AX860" s="405"/>
      <c r="AY860" s="405"/>
      <c r="AZ860" s="405"/>
      <c r="BA860" s="405"/>
      <c r="BB860" s="405"/>
      <c r="BC860" s="405"/>
      <c r="BD860" s="405"/>
      <c r="BE860" s="405"/>
      <c r="BF860" s="405"/>
      <c r="BG860" s="405"/>
      <c r="BH860" s="405"/>
      <c r="BI860" s="405"/>
      <c r="BJ860" s="405"/>
      <c r="BK860" s="405"/>
      <c r="BL860" s="405"/>
      <c r="BM860" s="405"/>
      <c r="BN860" s="405"/>
      <c r="BO860" s="405"/>
      <c r="BP860" s="405"/>
      <c r="BQ860" s="405"/>
      <c r="BR860" s="405"/>
      <c r="BS860" s="405"/>
      <c r="BT860" s="405"/>
      <c r="BU860" s="405"/>
      <c r="BV860" s="405"/>
      <c r="BW860" s="405"/>
      <c r="BX860" s="6"/>
      <c r="BY860" s="6"/>
      <c r="BZ860" s="6"/>
      <c r="CA860" s="6"/>
      <c r="CB860" s="6"/>
      <c r="CC860" s="6"/>
      <c r="CD860" s="6"/>
      <c r="CE860" s="6"/>
      <c r="CF860" s="6"/>
      <c r="CG860" s="6"/>
    </row>
    <row r="861" spans="1:85" ht="15.75" customHeight="1">
      <c r="A861" s="553"/>
      <c r="B861" s="223"/>
      <c r="C861" s="554"/>
      <c r="D861" s="223"/>
      <c r="E861" s="505"/>
      <c r="F861" s="505"/>
      <c r="G861" s="402"/>
      <c r="H861" s="505"/>
      <c r="I861" s="555"/>
      <c r="J861" s="555"/>
      <c r="K861" s="505"/>
      <c r="L861" s="404"/>
      <c r="M861" s="405"/>
      <c r="N861" s="505"/>
      <c r="O861" s="405"/>
      <c r="P861" s="405"/>
      <c r="Q861" s="405"/>
      <c r="R861" s="405"/>
      <c r="S861" s="405"/>
      <c r="T861" s="405"/>
      <c r="U861" s="505"/>
      <c r="V861" s="505"/>
      <c r="W861" s="505"/>
      <c r="X861" s="483"/>
      <c r="Y861" s="483"/>
      <c r="Z861" s="483"/>
      <c r="AA861" s="405"/>
      <c r="AB861" s="405"/>
      <c r="AC861" s="405"/>
      <c r="AD861" s="405"/>
      <c r="AE861" s="445"/>
      <c r="AF861" s="445"/>
      <c r="AG861" s="445"/>
      <c r="AH861" s="445"/>
      <c r="AI861" s="405"/>
      <c r="AJ861" s="405"/>
      <c r="AK861" s="405"/>
      <c r="AL861" s="405"/>
      <c r="AM861" s="405"/>
      <c r="AN861" s="405"/>
      <c r="AO861" s="405"/>
      <c r="AP861" s="405"/>
      <c r="AQ861" s="405"/>
      <c r="AR861" s="405"/>
      <c r="AS861" s="405"/>
      <c r="AT861" s="405"/>
      <c r="AU861" s="405"/>
      <c r="AV861" s="405"/>
      <c r="AW861" s="405"/>
      <c r="AX861" s="405"/>
      <c r="AY861" s="405"/>
      <c r="AZ861" s="405"/>
      <c r="BA861" s="405"/>
      <c r="BB861" s="405"/>
      <c r="BC861" s="405"/>
      <c r="BD861" s="405"/>
      <c r="BE861" s="405"/>
      <c r="BF861" s="405"/>
      <c r="BG861" s="405"/>
      <c r="BH861" s="405"/>
      <c r="BI861" s="405"/>
      <c r="BJ861" s="405"/>
      <c r="BK861" s="405"/>
      <c r="BL861" s="405"/>
      <c r="BM861" s="405"/>
      <c r="BN861" s="405"/>
      <c r="BO861" s="405"/>
      <c r="BP861" s="405"/>
      <c r="BQ861" s="405"/>
      <c r="BR861" s="405"/>
      <c r="BS861" s="405"/>
      <c r="BT861" s="405"/>
      <c r="BU861" s="405"/>
      <c r="BV861" s="405"/>
      <c r="BW861" s="405"/>
      <c r="BX861" s="6"/>
      <c r="BY861" s="6"/>
      <c r="BZ861" s="6"/>
      <c r="CA861" s="6"/>
      <c r="CB861" s="6"/>
      <c r="CC861" s="6"/>
      <c r="CD861" s="6"/>
      <c r="CE861" s="6"/>
      <c r="CF861" s="6"/>
      <c r="CG861" s="6"/>
    </row>
    <row r="862" spans="1:85" ht="15.75" customHeight="1">
      <c r="A862" s="553"/>
      <c r="B862" s="223"/>
      <c r="C862" s="554"/>
      <c r="D862" s="223"/>
      <c r="E862" s="505"/>
      <c r="F862" s="505"/>
      <c r="G862" s="402"/>
      <c r="H862" s="505"/>
      <c r="I862" s="555"/>
      <c r="J862" s="555"/>
      <c r="K862" s="505"/>
      <c r="L862" s="404"/>
      <c r="M862" s="405"/>
      <c r="N862" s="505"/>
      <c r="O862" s="405"/>
      <c r="P862" s="405"/>
      <c r="Q862" s="405"/>
      <c r="R862" s="405"/>
      <c r="S862" s="405"/>
      <c r="T862" s="405"/>
      <c r="U862" s="505"/>
      <c r="V862" s="505"/>
      <c r="W862" s="505"/>
      <c r="X862" s="483"/>
      <c r="Y862" s="483"/>
      <c r="Z862" s="483"/>
      <c r="AA862" s="405"/>
      <c r="AB862" s="405"/>
      <c r="AC862" s="405"/>
      <c r="AD862" s="405"/>
      <c r="AE862" s="445"/>
      <c r="AF862" s="445"/>
      <c r="AG862" s="445"/>
      <c r="AH862" s="445"/>
      <c r="AI862" s="405"/>
      <c r="AJ862" s="405"/>
      <c r="AK862" s="405"/>
      <c r="AL862" s="405"/>
      <c r="AM862" s="405"/>
      <c r="AN862" s="405"/>
      <c r="AO862" s="405"/>
      <c r="AP862" s="405"/>
      <c r="AQ862" s="405"/>
      <c r="AR862" s="405"/>
      <c r="AS862" s="405"/>
      <c r="AT862" s="405"/>
      <c r="AU862" s="405"/>
      <c r="AV862" s="405"/>
      <c r="AW862" s="405"/>
      <c r="AX862" s="405"/>
      <c r="AY862" s="405"/>
      <c r="AZ862" s="405"/>
      <c r="BA862" s="405"/>
      <c r="BB862" s="405"/>
      <c r="BC862" s="405"/>
      <c r="BD862" s="405"/>
      <c r="BE862" s="405"/>
      <c r="BF862" s="405"/>
      <c r="BG862" s="405"/>
      <c r="BH862" s="405"/>
      <c r="BI862" s="405"/>
      <c r="BJ862" s="405"/>
      <c r="BK862" s="405"/>
      <c r="BL862" s="405"/>
      <c r="BM862" s="405"/>
      <c r="BN862" s="405"/>
      <c r="BO862" s="405"/>
      <c r="BP862" s="405"/>
      <c r="BQ862" s="405"/>
      <c r="BR862" s="405"/>
      <c r="BS862" s="405"/>
      <c r="BT862" s="405"/>
      <c r="BU862" s="405"/>
      <c r="BV862" s="405"/>
      <c r="BW862" s="405"/>
      <c r="BX862" s="6"/>
      <c r="BY862" s="6"/>
      <c r="BZ862" s="6"/>
      <c r="CA862" s="6"/>
      <c r="CB862" s="6"/>
      <c r="CC862" s="6"/>
      <c r="CD862" s="6"/>
      <c r="CE862" s="6"/>
      <c r="CF862" s="6"/>
      <c r="CG862" s="6"/>
    </row>
    <row r="863" spans="1:85" ht="15.75" customHeight="1">
      <c r="A863" s="553"/>
      <c r="B863" s="223"/>
      <c r="C863" s="554"/>
      <c r="D863" s="223"/>
      <c r="E863" s="505"/>
      <c r="F863" s="505"/>
      <c r="G863" s="402"/>
      <c r="H863" s="505"/>
      <c r="I863" s="555"/>
      <c r="J863" s="555"/>
      <c r="K863" s="505"/>
      <c r="L863" s="404"/>
      <c r="M863" s="405"/>
      <c r="N863" s="505"/>
      <c r="O863" s="405"/>
      <c r="P863" s="405"/>
      <c r="Q863" s="405"/>
      <c r="R863" s="405"/>
      <c r="S863" s="405"/>
      <c r="T863" s="405"/>
      <c r="U863" s="505"/>
      <c r="V863" s="505"/>
      <c r="W863" s="505"/>
      <c r="X863" s="483"/>
      <c r="Y863" s="483"/>
      <c r="Z863" s="483"/>
      <c r="AA863" s="405"/>
      <c r="AB863" s="405"/>
      <c r="AC863" s="405"/>
      <c r="AD863" s="405"/>
      <c r="AE863" s="445"/>
      <c r="AF863" s="445"/>
      <c r="AG863" s="445"/>
      <c r="AH863" s="445"/>
      <c r="AI863" s="405"/>
      <c r="AJ863" s="405"/>
      <c r="AK863" s="405"/>
      <c r="AL863" s="405"/>
      <c r="AM863" s="405"/>
      <c r="AN863" s="405"/>
      <c r="AO863" s="405"/>
      <c r="AP863" s="405"/>
      <c r="AQ863" s="405"/>
      <c r="AR863" s="405"/>
      <c r="AS863" s="405"/>
      <c r="AT863" s="405"/>
      <c r="AU863" s="405"/>
      <c r="AV863" s="405"/>
      <c r="AW863" s="405"/>
      <c r="AX863" s="405"/>
      <c r="AY863" s="405"/>
      <c r="AZ863" s="405"/>
      <c r="BA863" s="405"/>
      <c r="BB863" s="405"/>
      <c r="BC863" s="405"/>
      <c r="BD863" s="405"/>
      <c r="BE863" s="405"/>
      <c r="BF863" s="405"/>
      <c r="BG863" s="405"/>
      <c r="BH863" s="405"/>
      <c r="BI863" s="405"/>
      <c r="BJ863" s="405"/>
      <c r="BK863" s="405"/>
      <c r="BL863" s="405"/>
      <c r="BM863" s="405"/>
      <c r="BN863" s="405"/>
      <c r="BO863" s="405"/>
      <c r="BP863" s="405"/>
      <c r="BQ863" s="405"/>
      <c r="BR863" s="405"/>
      <c r="BS863" s="405"/>
      <c r="BT863" s="405"/>
      <c r="BU863" s="405"/>
      <c r="BV863" s="405"/>
      <c r="BW863" s="405"/>
      <c r="BX863" s="6"/>
      <c r="BY863" s="6"/>
      <c r="BZ863" s="6"/>
      <c r="CA863" s="6"/>
      <c r="CB863" s="6"/>
      <c r="CC863" s="6"/>
      <c r="CD863" s="6"/>
      <c r="CE863" s="6"/>
      <c r="CF863" s="6"/>
      <c r="CG863" s="6"/>
    </row>
    <row r="864" spans="1:85" ht="15.75" customHeight="1">
      <c r="A864" s="553"/>
      <c r="B864" s="223"/>
      <c r="C864" s="554"/>
      <c r="D864" s="223"/>
      <c r="E864" s="505"/>
      <c r="F864" s="505"/>
      <c r="G864" s="402"/>
      <c r="H864" s="505"/>
      <c r="I864" s="555"/>
      <c r="J864" s="555"/>
      <c r="K864" s="505"/>
      <c r="L864" s="404"/>
      <c r="M864" s="405"/>
      <c r="N864" s="505"/>
      <c r="O864" s="405"/>
      <c r="P864" s="405"/>
      <c r="Q864" s="405"/>
      <c r="R864" s="405"/>
      <c r="S864" s="405"/>
      <c r="T864" s="405"/>
      <c r="U864" s="505"/>
      <c r="V864" s="505"/>
      <c r="W864" s="505"/>
      <c r="X864" s="483"/>
      <c r="Y864" s="483"/>
      <c r="Z864" s="483"/>
      <c r="AA864" s="405"/>
      <c r="AB864" s="405"/>
      <c r="AC864" s="405"/>
      <c r="AD864" s="405"/>
      <c r="AE864" s="445"/>
      <c r="AF864" s="445"/>
      <c r="AG864" s="445"/>
      <c r="AH864" s="445"/>
      <c r="AI864" s="405"/>
      <c r="AJ864" s="405"/>
      <c r="AK864" s="405"/>
      <c r="AL864" s="405"/>
      <c r="AM864" s="405"/>
      <c r="AN864" s="405"/>
      <c r="AO864" s="405"/>
      <c r="AP864" s="405"/>
      <c r="AQ864" s="405"/>
      <c r="AR864" s="405"/>
      <c r="AS864" s="405"/>
      <c r="AT864" s="405"/>
      <c r="AU864" s="405"/>
      <c r="AV864" s="405"/>
      <c r="AW864" s="405"/>
      <c r="AX864" s="405"/>
      <c r="AY864" s="405"/>
      <c r="AZ864" s="405"/>
      <c r="BA864" s="405"/>
      <c r="BB864" s="405"/>
      <c r="BC864" s="405"/>
      <c r="BD864" s="405"/>
      <c r="BE864" s="405"/>
      <c r="BF864" s="405"/>
      <c r="BG864" s="405"/>
      <c r="BH864" s="405"/>
      <c r="BI864" s="405"/>
      <c r="BJ864" s="405"/>
      <c r="BK864" s="405"/>
      <c r="BL864" s="405"/>
      <c r="BM864" s="405"/>
      <c r="BN864" s="405"/>
      <c r="BO864" s="405"/>
      <c r="BP864" s="405"/>
      <c r="BQ864" s="405"/>
      <c r="BR864" s="405"/>
      <c r="BS864" s="405"/>
      <c r="BT864" s="405"/>
      <c r="BU864" s="405"/>
      <c r="BV864" s="405"/>
      <c r="BW864" s="405"/>
      <c r="BX864" s="6"/>
      <c r="BY864" s="6"/>
      <c r="BZ864" s="6"/>
      <c r="CA864" s="6"/>
      <c r="CB864" s="6"/>
      <c r="CC864" s="6"/>
      <c r="CD864" s="6"/>
      <c r="CE864" s="6"/>
      <c r="CF864" s="6"/>
      <c r="CG864" s="6"/>
    </row>
    <row r="865" spans="1:85" ht="15.75" customHeight="1">
      <c r="A865" s="553"/>
      <c r="B865" s="223"/>
      <c r="C865" s="554"/>
      <c r="D865" s="223"/>
      <c r="E865" s="505"/>
      <c r="F865" s="505"/>
      <c r="G865" s="402"/>
      <c r="H865" s="505"/>
      <c r="I865" s="555"/>
      <c r="J865" s="555"/>
      <c r="K865" s="505"/>
      <c r="L865" s="404"/>
      <c r="M865" s="405"/>
      <c r="N865" s="505"/>
      <c r="O865" s="405"/>
      <c r="P865" s="405"/>
      <c r="Q865" s="405"/>
      <c r="R865" s="405"/>
      <c r="S865" s="405"/>
      <c r="T865" s="405"/>
      <c r="U865" s="505"/>
      <c r="V865" s="505"/>
      <c r="W865" s="505"/>
      <c r="X865" s="483"/>
      <c r="Y865" s="483"/>
      <c r="Z865" s="483"/>
      <c r="AA865" s="405"/>
      <c r="AB865" s="405"/>
      <c r="AC865" s="405"/>
      <c r="AD865" s="405"/>
      <c r="AE865" s="445"/>
      <c r="AF865" s="445"/>
      <c r="AG865" s="445"/>
      <c r="AH865" s="445"/>
      <c r="AI865" s="405"/>
      <c r="AJ865" s="405"/>
      <c r="AK865" s="405"/>
      <c r="AL865" s="405"/>
      <c r="AM865" s="405"/>
      <c r="AN865" s="405"/>
      <c r="AO865" s="405"/>
      <c r="AP865" s="405"/>
      <c r="AQ865" s="405"/>
      <c r="AR865" s="405"/>
      <c r="AS865" s="405"/>
      <c r="AT865" s="405"/>
      <c r="AU865" s="405"/>
      <c r="AV865" s="405"/>
      <c r="AW865" s="405"/>
      <c r="AX865" s="405"/>
      <c r="AY865" s="405"/>
      <c r="AZ865" s="405"/>
      <c r="BA865" s="405"/>
      <c r="BB865" s="405"/>
      <c r="BC865" s="405"/>
      <c r="BD865" s="405"/>
      <c r="BE865" s="405"/>
      <c r="BF865" s="405"/>
      <c r="BG865" s="405"/>
      <c r="BH865" s="405"/>
      <c r="BI865" s="405"/>
      <c r="BJ865" s="405"/>
      <c r="BK865" s="405"/>
      <c r="BL865" s="405"/>
      <c r="BM865" s="405"/>
      <c r="BN865" s="405"/>
      <c r="BO865" s="405"/>
      <c r="BP865" s="405"/>
      <c r="BQ865" s="405"/>
      <c r="BR865" s="405"/>
      <c r="BS865" s="405"/>
      <c r="BT865" s="405"/>
      <c r="BU865" s="405"/>
      <c r="BV865" s="405"/>
      <c r="BW865" s="405"/>
      <c r="BX865" s="6"/>
      <c r="BY865" s="6"/>
      <c r="BZ865" s="6"/>
      <c r="CA865" s="6"/>
      <c r="CB865" s="6"/>
      <c r="CC865" s="6"/>
      <c r="CD865" s="6"/>
      <c r="CE865" s="6"/>
      <c r="CF865" s="6"/>
      <c r="CG865" s="6"/>
    </row>
    <row r="866" spans="1:85" ht="15.75" customHeight="1">
      <c r="A866" s="553"/>
      <c r="B866" s="223"/>
      <c r="C866" s="554"/>
      <c r="D866" s="223"/>
      <c r="E866" s="505"/>
      <c r="F866" s="505"/>
      <c r="G866" s="402"/>
      <c r="H866" s="505"/>
      <c r="I866" s="555"/>
      <c r="J866" s="555"/>
      <c r="K866" s="505"/>
      <c r="L866" s="404"/>
      <c r="M866" s="405"/>
      <c r="N866" s="505"/>
      <c r="O866" s="405"/>
      <c r="P866" s="405"/>
      <c r="Q866" s="405"/>
      <c r="R866" s="405"/>
      <c r="S866" s="405"/>
      <c r="T866" s="405"/>
      <c r="U866" s="505"/>
      <c r="V866" s="505"/>
      <c r="W866" s="505"/>
      <c r="X866" s="483"/>
      <c r="Y866" s="483"/>
      <c r="Z866" s="483"/>
      <c r="AA866" s="405"/>
      <c r="AB866" s="405"/>
      <c r="AC866" s="405"/>
      <c r="AD866" s="405"/>
      <c r="AE866" s="445"/>
      <c r="AF866" s="445"/>
      <c r="AG866" s="445"/>
      <c r="AH866" s="445"/>
      <c r="AI866" s="405"/>
      <c r="AJ866" s="405"/>
      <c r="AK866" s="405"/>
      <c r="AL866" s="405"/>
      <c r="AM866" s="405"/>
      <c r="AN866" s="405"/>
      <c r="AO866" s="405"/>
      <c r="AP866" s="405"/>
      <c r="AQ866" s="405"/>
      <c r="AR866" s="405"/>
      <c r="AS866" s="405"/>
      <c r="AT866" s="405"/>
      <c r="AU866" s="405"/>
      <c r="AV866" s="405"/>
      <c r="AW866" s="405"/>
      <c r="AX866" s="405"/>
      <c r="AY866" s="405"/>
      <c r="AZ866" s="405"/>
      <c r="BA866" s="405"/>
      <c r="BB866" s="405"/>
      <c r="BC866" s="405"/>
      <c r="BD866" s="405"/>
      <c r="BE866" s="405"/>
      <c r="BF866" s="405"/>
      <c r="BG866" s="405"/>
      <c r="BH866" s="405"/>
      <c r="BI866" s="405"/>
      <c r="BJ866" s="405"/>
      <c r="BK866" s="405"/>
      <c r="BL866" s="405"/>
      <c r="BM866" s="405"/>
      <c r="BN866" s="405"/>
      <c r="BO866" s="405"/>
      <c r="BP866" s="405"/>
      <c r="BQ866" s="405"/>
      <c r="BR866" s="405"/>
      <c r="BS866" s="405"/>
      <c r="BT866" s="405"/>
      <c r="BU866" s="405"/>
      <c r="BV866" s="405"/>
      <c r="BW866" s="405"/>
      <c r="BX866" s="6"/>
      <c r="BY866" s="6"/>
      <c r="BZ866" s="6"/>
      <c r="CA866" s="6"/>
      <c r="CB866" s="6"/>
      <c r="CC866" s="6"/>
      <c r="CD866" s="6"/>
      <c r="CE866" s="6"/>
      <c r="CF866" s="6"/>
      <c r="CG866" s="6"/>
    </row>
    <row r="867" spans="1:85" ht="15.75" customHeight="1">
      <c r="A867" s="553"/>
      <c r="B867" s="223"/>
      <c r="C867" s="554"/>
      <c r="D867" s="223"/>
      <c r="E867" s="505"/>
      <c r="F867" s="505"/>
      <c r="G867" s="402"/>
      <c r="H867" s="505"/>
      <c r="I867" s="555"/>
      <c r="J867" s="555"/>
      <c r="K867" s="505"/>
      <c r="L867" s="404"/>
      <c r="M867" s="405"/>
      <c r="N867" s="505"/>
      <c r="O867" s="405"/>
      <c r="P867" s="405"/>
      <c r="Q867" s="405"/>
      <c r="R867" s="405"/>
      <c r="S867" s="405"/>
      <c r="T867" s="405"/>
      <c r="U867" s="505"/>
      <c r="V867" s="505"/>
      <c r="W867" s="505"/>
      <c r="X867" s="483"/>
      <c r="Y867" s="483"/>
      <c r="Z867" s="483"/>
      <c r="AA867" s="405"/>
      <c r="AB867" s="405"/>
      <c r="AC867" s="405"/>
      <c r="AD867" s="405"/>
      <c r="AE867" s="445"/>
      <c r="AF867" s="445"/>
      <c r="AG867" s="445"/>
      <c r="AH867" s="445"/>
      <c r="AI867" s="405"/>
      <c r="AJ867" s="405"/>
      <c r="AK867" s="405"/>
      <c r="AL867" s="405"/>
      <c r="AM867" s="405"/>
      <c r="AN867" s="405"/>
      <c r="AO867" s="405"/>
      <c r="AP867" s="405"/>
      <c r="AQ867" s="405"/>
      <c r="AR867" s="405"/>
      <c r="AS867" s="405"/>
      <c r="AT867" s="405"/>
      <c r="AU867" s="405"/>
      <c r="AV867" s="405"/>
      <c r="AW867" s="405"/>
      <c r="AX867" s="405"/>
      <c r="AY867" s="405"/>
      <c r="AZ867" s="405"/>
      <c r="BA867" s="405"/>
      <c r="BB867" s="405"/>
      <c r="BC867" s="405"/>
      <c r="BD867" s="405"/>
      <c r="BE867" s="405"/>
      <c r="BF867" s="405"/>
      <c r="BG867" s="405"/>
      <c r="BH867" s="405"/>
      <c r="BI867" s="405"/>
      <c r="BJ867" s="405"/>
      <c r="BK867" s="405"/>
      <c r="BL867" s="405"/>
      <c r="BM867" s="405"/>
      <c r="BN867" s="405"/>
      <c r="BO867" s="405"/>
      <c r="BP867" s="405"/>
      <c r="BQ867" s="405"/>
      <c r="BR867" s="405"/>
      <c r="BS867" s="405"/>
      <c r="BT867" s="405"/>
      <c r="BU867" s="405"/>
      <c r="BV867" s="405"/>
      <c r="BW867" s="405"/>
      <c r="BX867" s="6"/>
      <c r="BY867" s="6"/>
      <c r="BZ867" s="6"/>
      <c r="CA867" s="6"/>
      <c r="CB867" s="6"/>
      <c r="CC867" s="6"/>
      <c r="CD867" s="6"/>
      <c r="CE867" s="6"/>
      <c r="CF867" s="6"/>
      <c r="CG867" s="6"/>
    </row>
    <row r="868" spans="1:85" ht="15.75" customHeight="1">
      <c r="A868" s="553"/>
      <c r="B868" s="223"/>
      <c r="C868" s="554"/>
      <c r="D868" s="223"/>
      <c r="E868" s="505"/>
      <c r="F868" s="505"/>
      <c r="G868" s="402"/>
      <c r="H868" s="505"/>
      <c r="I868" s="555"/>
      <c r="J868" s="555"/>
      <c r="K868" s="505"/>
      <c r="L868" s="404"/>
      <c r="M868" s="405"/>
      <c r="N868" s="505"/>
      <c r="O868" s="405"/>
      <c r="P868" s="405"/>
      <c r="Q868" s="405"/>
      <c r="R868" s="405"/>
      <c r="S868" s="405"/>
      <c r="T868" s="405"/>
      <c r="U868" s="505"/>
      <c r="V868" s="505"/>
      <c r="W868" s="505"/>
      <c r="X868" s="483"/>
      <c r="Y868" s="483"/>
      <c r="Z868" s="483"/>
      <c r="AA868" s="405"/>
      <c r="AB868" s="405"/>
      <c r="AC868" s="405"/>
      <c r="AD868" s="405"/>
      <c r="AE868" s="445"/>
      <c r="AF868" s="445"/>
      <c r="AG868" s="445"/>
      <c r="AH868" s="445"/>
      <c r="AI868" s="405"/>
      <c r="AJ868" s="405"/>
      <c r="AK868" s="405"/>
      <c r="AL868" s="405"/>
      <c r="AM868" s="405"/>
      <c r="AN868" s="405"/>
      <c r="AO868" s="405"/>
      <c r="AP868" s="405"/>
      <c r="AQ868" s="405"/>
      <c r="AR868" s="405"/>
      <c r="AS868" s="405"/>
      <c r="AT868" s="405"/>
      <c r="AU868" s="405"/>
      <c r="AV868" s="405"/>
      <c r="AW868" s="405"/>
      <c r="AX868" s="405"/>
      <c r="AY868" s="405"/>
      <c r="AZ868" s="405"/>
      <c r="BA868" s="405"/>
      <c r="BB868" s="405"/>
      <c r="BC868" s="405"/>
      <c r="BD868" s="405"/>
      <c r="BE868" s="405"/>
      <c r="BF868" s="405"/>
      <c r="BG868" s="405"/>
      <c r="BH868" s="405"/>
      <c r="BI868" s="405"/>
      <c r="BJ868" s="405"/>
      <c r="BK868" s="405"/>
      <c r="BL868" s="405"/>
      <c r="BM868" s="405"/>
      <c r="BN868" s="405"/>
      <c r="BO868" s="405"/>
      <c r="BP868" s="405"/>
      <c r="BQ868" s="405"/>
      <c r="BR868" s="405"/>
      <c r="BS868" s="405"/>
      <c r="BT868" s="405"/>
      <c r="BU868" s="405"/>
      <c r="BV868" s="405"/>
      <c r="BW868" s="405"/>
      <c r="BX868" s="6"/>
      <c r="BY868" s="6"/>
      <c r="BZ868" s="6"/>
      <c r="CA868" s="6"/>
      <c r="CB868" s="6"/>
      <c r="CC868" s="6"/>
      <c r="CD868" s="6"/>
      <c r="CE868" s="6"/>
      <c r="CF868" s="6"/>
      <c r="CG868" s="6"/>
    </row>
    <row r="869" spans="1:85" ht="15.75" customHeight="1">
      <c r="A869" s="553"/>
      <c r="B869" s="223"/>
      <c r="C869" s="554"/>
      <c r="D869" s="223"/>
      <c r="E869" s="505"/>
      <c r="F869" s="505"/>
      <c r="G869" s="402"/>
      <c r="H869" s="505"/>
      <c r="I869" s="555"/>
      <c r="J869" s="555"/>
      <c r="K869" s="505"/>
      <c r="L869" s="404"/>
      <c r="M869" s="405"/>
      <c r="N869" s="505"/>
      <c r="O869" s="405"/>
      <c r="P869" s="405"/>
      <c r="Q869" s="405"/>
      <c r="R869" s="405"/>
      <c r="S869" s="405"/>
      <c r="T869" s="405"/>
      <c r="U869" s="505"/>
      <c r="V869" s="505"/>
      <c r="W869" s="505"/>
      <c r="X869" s="483"/>
      <c r="Y869" s="483"/>
      <c r="Z869" s="483"/>
      <c r="AA869" s="405"/>
      <c r="AB869" s="405"/>
      <c r="AC869" s="405"/>
      <c r="AD869" s="405"/>
      <c r="AE869" s="445"/>
      <c r="AF869" s="445"/>
      <c r="AG869" s="445"/>
      <c r="AH869" s="445"/>
      <c r="AI869" s="405"/>
      <c r="AJ869" s="405"/>
      <c r="AK869" s="405"/>
      <c r="AL869" s="405"/>
      <c r="AM869" s="405"/>
      <c r="AN869" s="405"/>
      <c r="AO869" s="405"/>
      <c r="AP869" s="405"/>
      <c r="AQ869" s="405"/>
      <c r="AR869" s="405"/>
      <c r="AS869" s="405"/>
      <c r="AT869" s="405"/>
      <c r="AU869" s="405"/>
      <c r="AV869" s="405"/>
      <c r="AW869" s="405"/>
      <c r="AX869" s="405"/>
      <c r="AY869" s="405"/>
      <c r="AZ869" s="405"/>
      <c r="BA869" s="405"/>
      <c r="BB869" s="405"/>
      <c r="BC869" s="405"/>
      <c r="BD869" s="405"/>
      <c r="BE869" s="405"/>
      <c r="BF869" s="405"/>
      <c r="BG869" s="405"/>
      <c r="BH869" s="405"/>
      <c r="BI869" s="405"/>
      <c r="BJ869" s="405"/>
      <c r="BK869" s="405"/>
      <c r="BL869" s="405"/>
      <c r="BM869" s="405"/>
      <c r="BN869" s="405"/>
      <c r="BO869" s="405"/>
      <c r="BP869" s="405"/>
      <c r="BQ869" s="405"/>
      <c r="BR869" s="405"/>
      <c r="BS869" s="405"/>
      <c r="BT869" s="405"/>
      <c r="BU869" s="405"/>
      <c r="BV869" s="405"/>
      <c r="BW869" s="405"/>
      <c r="BX869" s="6"/>
      <c r="BY869" s="6"/>
      <c r="BZ869" s="6"/>
      <c r="CA869" s="6"/>
      <c r="CB869" s="6"/>
      <c r="CC869" s="6"/>
      <c r="CD869" s="6"/>
      <c r="CE869" s="6"/>
      <c r="CF869" s="6"/>
      <c r="CG869" s="6"/>
    </row>
    <row r="870" spans="1:85" ht="15.75" customHeight="1">
      <c r="A870" s="553"/>
      <c r="B870" s="223"/>
      <c r="C870" s="554"/>
      <c r="D870" s="223"/>
      <c r="E870" s="505"/>
      <c r="F870" s="505"/>
      <c r="G870" s="402"/>
      <c r="H870" s="505"/>
      <c r="I870" s="555"/>
      <c r="J870" s="555"/>
      <c r="K870" s="505"/>
      <c r="L870" s="404"/>
      <c r="M870" s="405"/>
      <c r="N870" s="505"/>
      <c r="O870" s="405"/>
      <c r="P870" s="405"/>
      <c r="Q870" s="405"/>
      <c r="R870" s="405"/>
      <c r="S870" s="405"/>
      <c r="T870" s="405"/>
      <c r="U870" s="505"/>
      <c r="V870" s="505"/>
      <c r="W870" s="505"/>
      <c r="X870" s="483"/>
      <c r="Y870" s="483"/>
      <c r="Z870" s="483"/>
      <c r="AA870" s="405"/>
      <c r="AB870" s="405"/>
      <c r="AC870" s="405"/>
      <c r="AD870" s="405"/>
      <c r="AE870" s="445"/>
      <c r="AF870" s="445"/>
      <c r="AG870" s="445"/>
      <c r="AH870" s="445"/>
      <c r="AI870" s="405"/>
      <c r="AJ870" s="405"/>
      <c r="AK870" s="405"/>
      <c r="AL870" s="405"/>
      <c r="AM870" s="405"/>
      <c r="AN870" s="405"/>
      <c r="AO870" s="405"/>
      <c r="AP870" s="405"/>
      <c r="AQ870" s="405"/>
      <c r="AR870" s="405"/>
      <c r="AS870" s="405"/>
      <c r="AT870" s="405"/>
      <c r="AU870" s="405"/>
      <c r="AV870" s="405"/>
      <c r="AW870" s="405"/>
      <c r="AX870" s="405"/>
      <c r="AY870" s="405"/>
      <c r="AZ870" s="405"/>
      <c r="BA870" s="405"/>
      <c r="BB870" s="405"/>
      <c r="BC870" s="405"/>
      <c r="BD870" s="405"/>
      <c r="BE870" s="405"/>
      <c r="BF870" s="405"/>
      <c r="BG870" s="405"/>
      <c r="BH870" s="405"/>
      <c r="BI870" s="405"/>
      <c r="BJ870" s="405"/>
      <c r="BK870" s="405"/>
      <c r="BL870" s="405"/>
      <c r="BM870" s="405"/>
      <c r="BN870" s="405"/>
      <c r="BO870" s="405"/>
      <c r="BP870" s="405"/>
      <c r="BQ870" s="405"/>
      <c r="BR870" s="405"/>
      <c r="BS870" s="405"/>
      <c r="BT870" s="405"/>
      <c r="BU870" s="405"/>
      <c r="BV870" s="405"/>
      <c r="BW870" s="405"/>
      <c r="BX870" s="6"/>
      <c r="BY870" s="6"/>
      <c r="BZ870" s="6"/>
      <c r="CA870" s="6"/>
      <c r="CB870" s="6"/>
      <c r="CC870" s="6"/>
      <c r="CD870" s="6"/>
      <c r="CE870" s="6"/>
      <c r="CF870" s="6"/>
      <c r="CG870" s="6"/>
    </row>
    <row r="871" spans="1:85" ht="15.75" customHeight="1">
      <c r="A871" s="553"/>
      <c r="B871" s="223"/>
      <c r="C871" s="554"/>
      <c r="D871" s="223"/>
      <c r="E871" s="505"/>
      <c r="F871" s="505"/>
      <c r="G871" s="402"/>
      <c r="H871" s="505"/>
      <c r="I871" s="555"/>
      <c r="J871" s="555"/>
      <c r="K871" s="505"/>
      <c r="L871" s="404"/>
      <c r="M871" s="405"/>
      <c r="N871" s="505"/>
      <c r="O871" s="405"/>
      <c r="P871" s="405"/>
      <c r="Q871" s="405"/>
      <c r="R871" s="405"/>
      <c r="S871" s="405"/>
      <c r="T871" s="405"/>
      <c r="U871" s="505"/>
      <c r="V871" s="505"/>
      <c r="W871" s="505"/>
      <c r="X871" s="483"/>
      <c r="Y871" s="483"/>
      <c r="Z871" s="483"/>
      <c r="AA871" s="405"/>
      <c r="AB871" s="405"/>
      <c r="AC871" s="405"/>
      <c r="AD871" s="405"/>
      <c r="AE871" s="445"/>
      <c r="AF871" s="445"/>
      <c r="AG871" s="445"/>
      <c r="AH871" s="445"/>
      <c r="AI871" s="405"/>
      <c r="AJ871" s="405"/>
      <c r="AK871" s="405"/>
      <c r="AL871" s="405"/>
      <c r="AM871" s="405"/>
      <c r="AN871" s="405"/>
      <c r="AO871" s="405"/>
      <c r="AP871" s="405"/>
      <c r="AQ871" s="405"/>
      <c r="AR871" s="405"/>
      <c r="AS871" s="405"/>
      <c r="AT871" s="405"/>
      <c r="AU871" s="405"/>
      <c r="AV871" s="405"/>
      <c r="AW871" s="405"/>
      <c r="AX871" s="405"/>
      <c r="AY871" s="405"/>
      <c r="AZ871" s="405"/>
      <c r="BA871" s="405"/>
      <c r="BB871" s="405"/>
      <c r="BC871" s="405"/>
      <c r="BD871" s="405"/>
      <c r="BE871" s="405"/>
      <c r="BF871" s="405"/>
      <c r="BG871" s="405"/>
      <c r="BH871" s="405"/>
      <c r="BI871" s="405"/>
      <c r="BJ871" s="405"/>
      <c r="BK871" s="405"/>
      <c r="BL871" s="405"/>
      <c r="BM871" s="405"/>
      <c r="BN871" s="405"/>
      <c r="BO871" s="405"/>
      <c r="BP871" s="405"/>
      <c r="BQ871" s="405"/>
      <c r="BR871" s="405"/>
      <c r="BS871" s="405"/>
      <c r="BT871" s="405"/>
      <c r="BU871" s="405"/>
      <c r="BV871" s="405"/>
      <c r="BW871" s="405"/>
      <c r="BX871" s="6"/>
      <c r="BY871" s="6"/>
      <c r="BZ871" s="6"/>
      <c r="CA871" s="6"/>
      <c r="CB871" s="6"/>
      <c r="CC871" s="6"/>
      <c r="CD871" s="6"/>
      <c r="CE871" s="6"/>
      <c r="CF871" s="6"/>
      <c r="CG871" s="6"/>
    </row>
    <row r="872" spans="1:85" ht="15.75" customHeight="1">
      <c r="A872" s="553"/>
      <c r="B872" s="223"/>
      <c r="C872" s="554"/>
      <c r="D872" s="223"/>
      <c r="E872" s="505"/>
      <c r="F872" s="505"/>
      <c r="G872" s="402"/>
      <c r="H872" s="505"/>
      <c r="I872" s="555"/>
      <c r="J872" s="555"/>
      <c r="K872" s="505"/>
      <c r="L872" s="404"/>
      <c r="M872" s="405"/>
      <c r="N872" s="505"/>
      <c r="O872" s="405"/>
      <c r="P872" s="405"/>
      <c r="Q872" s="405"/>
      <c r="R872" s="405"/>
      <c r="S872" s="405"/>
      <c r="T872" s="405"/>
      <c r="U872" s="505"/>
      <c r="V872" s="505"/>
      <c r="W872" s="505"/>
      <c r="X872" s="483"/>
      <c r="Y872" s="483"/>
      <c r="Z872" s="483"/>
      <c r="AA872" s="405"/>
      <c r="AB872" s="405"/>
      <c r="AC872" s="405"/>
      <c r="AD872" s="405"/>
      <c r="AE872" s="445"/>
      <c r="AF872" s="445"/>
      <c r="AG872" s="445"/>
      <c r="AH872" s="445"/>
      <c r="AI872" s="405"/>
      <c r="AJ872" s="405"/>
      <c r="AK872" s="405"/>
      <c r="AL872" s="405"/>
      <c r="AM872" s="405"/>
      <c r="AN872" s="405"/>
      <c r="AO872" s="405"/>
      <c r="AP872" s="405"/>
      <c r="AQ872" s="405"/>
      <c r="AR872" s="405"/>
      <c r="AS872" s="405"/>
      <c r="AT872" s="405"/>
      <c r="AU872" s="405"/>
      <c r="AV872" s="405"/>
      <c r="AW872" s="405"/>
      <c r="AX872" s="405"/>
      <c r="AY872" s="405"/>
      <c r="AZ872" s="405"/>
      <c r="BA872" s="405"/>
      <c r="BB872" s="405"/>
      <c r="BC872" s="405"/>
      <c r="BD872" s="405"/>
      <c r="BE872" s="405"/>
      <c r="BF872" s="405"/>
      <c r="BG872" s="405"/>
      <c r="BH872" s="405"/>
      <c r="BI872" s="405"/>
      <c r="BJ872" s="405"/>
      <c r="BK872" s="405"/>
      <c r="BL872" s="405"/>
      <c r="BM872" s="405"/>
      <c r="BN872" s="405"/>
      <c r="BO872" s="405"/>
      <c r="BP872" s="405"/>
      <c r="BQ872" s="405"/>
      <c r="BR872" s="405"/>
      <c r="BS872" s="405"/>
      <c r="BT872" s="405"/>
      <c r="BU872" s="405"/>
      <c r="BV872" s="405"/>
      <c r="BW872" s="405"/>
      <c r="BX872" s="6"/>
      <c r="BY872" s="6"/>
      <c r="BZ872" s="6"/>
      <c r="CA872" s="6"/>
      <c r="CB872" s="6"/>
      <c r="CC872" s="6"/>
      <c r="CD872" s="6"/>
      <c r="CE872" s="6"/>
      <c r="CF872" s="6"/>
      <c r="CG872" s="6"/>
    </row>
    <row r="873" spans="1:85" ht="15.75" customHeight="1">
      <c r="A873" s="553"/>
      <c r="B873" s="223"/>
      <c r="C873" s="554"/>
      <c r="D873" s="223"/>
      <c r="E873" s="505"/>
      <c r="F873" s="505"/>
      <c r="G873" s="402"/>
      <c r="H873" s="505"/>
      <c r="I873" s="555"/>
      <c r="J873" s="555"/>
      <c r="K873" s="505"/>
      <c r="L873" s="404"/>
      <c r="M873" s="405"/>
      <c r="N873" s="505"/>
      <c r="O873" s="405"/>
      <c r="P873" s="405"/>
      <c r="Q873" s="405"/>
      <c r="R873" s="405"/>
      <c r="S873" s="405"/>
      <c r="T873" s="405"/>
      <c r="U873" s="505"/>
      <c r="V873" s="505"/>
      <c r="W873" s="505"/>
      <c r="X873" s="483"/>
      <c r="Y873" s="483"/>
      <c r="Z873" s="483"/>
      <c r="AA873" s="405"/>
      <c r="AB873" s="405"/>
      <c r="AC873" s="405"/>
      <c r="AD873" s="405"/>
      <c r="AE873" s="445"/>
      <c r="AF873" s="445"/>
      <c r="AG873" s="445"/>
      <c r="AH873" s="445"/>
      <c r="AI873" s="405"/>
      <c r="AJ873" s="405"/>
      <c r="AK873" s="405"/>
      <c r="AL873" s="405"/>
      <c r="AM873" s="405"/>
      <c r="AN873" s="405"/>
      <c r="AO873" s="405"/>
      <c r="AP873" s="405"/>
      <c r="AQ873" s="405"/>
      <c r="AR873" s="405"/>
      <c r="AS873" s="405"/>
      <c r="AT873" s="405"/>
      <c r="AU873" s="405"/>
      <c r="AV873" s="405"/>
      <c r="AW873" s="405"/>
      <c r="AX873" s="405"/>
      <c r="AY873" s="405"/>
      <c r="AZ873" s="405"/>
      <c r="BA873" s="405"/>
      <c r="BB873" s="405"/>
      <c r="BC873" s="405"/>
      <c r="BD873" s="405"/>
      <c r="BE873" s="405"/>
      <c r="BF873" s="405"/>
      <c r="BG873" s="405"/>
      <c r="BH873" s="405"/>
      <c r="BI873" s="405"/>
      <c r="BJ873" s="405"/>
      <c r="BK873" s="405"/>
      <c r="BL873" s="405"/>
      <c r="BM873" s="405"/>
      <c r="BN873" s="405"/>
      <c r="BO873" s="405"/>
      <c r="BP873" s="405"/>
      <c r="BQ873" s="405"/>
      <c r="BR873" s="405"/>
      <c r="BS873" s="405"/>
      <c r="BT873" s="405"/>
      <c r="BU873" s="405"/>
      <c r="BV873" s="405"/>
      <c r="BW873" s="405"/>
      <c r="BX873" s="6"/>
      <c r="BY873" s="6"/>
      <c r="BZ873" s="6"/>
      <c r="CA873" s="6"/>
      <c r="CB873" s="6"/>
      <c r="CC873" s="6"/>
      <c r="CD873" s="6"/>
      <c r="CE873" s="6"/>
      <c r="CF873" s="6"/>
      <c r="CG873" s="6"/>
    </row>
    <row r="874" spans="1:85" ht="15.75" customHeight="1">
      <c r="A874" s="553"/>
      <c r="B874" s="223"/>
      <c r="C874" s="554"/>
      <c r="D874" s="223"/>
      <c r="E874" s="505"/>
      <c r="F874" s="505"/>
      <c r="G874" s="402"/>
      <c r="H874" s="505"/>
      <c r="I874" s="555"/>
      <c r="J874" s="555"/>
      <c r="K874" s="505"/>
      <c r="L874" s="404"/>
      <c r="M874" s="405"/>
      <c r="N874" s="505"/>
      <c r="O874" s="405"/>
      <c r="P874" s="405"/>
      <c r="Q874" s="405"/>
      <c r="R874" s="405"/>
      <c r="S874" s="405"/>
      <c r="T874" s="405"/>
      <c r="U874" s="505"/>
      <c r="V874" s="505"/>
      <c r="W874" s="505"/>
      <c r="X874" s="483"/>
      <c r="Y874" s="483"/>
      <c r="Z874" s="483"/>
      <c r="AA874" s="405"/>
      <c r="AB874" s="405"/>
      <c r="AC874" s="405"/>
      <c r="AD874" s="405"/>
      <c r="AE874" s="445"/>
      <c r="AF874" s="445"/>
      <c r="AG874" s="445"/>
      <c r="AH874" s="445"/>
      <c r="AI874" s="405"/>
      <c r="AJ874" s="405"/>
      <c r="AK874" s="405"/>
      <c r="AL874" s="405"/>
      <c r="AM874" s="405"/>
      <c r="AN874" s="405"/>
      <c r="AO874" s="405"/>
      <c r="AP874" s="405"/>
      <c r="AQ874" s="405"/>
      <c r="AR874" s="405"/>
      <c r="AS874" s="405"/>
      <c r="AT874" s="405"/>
      <c r="AU874" s="405"/>
      <c r="AV874" s="405"/>
      <c r="AW874" s="405"/>
      <c r="AX874" s="405"/>
      <c r="AY874" s="405"/>
      <c r="AZ874" s="405"/>
      <c r="BA874" s="405"/>
      <c r="BB874" s="405"/>
      <c r="BC874" s="405"/>
      <c r="BD874" s="405"/>
      <c r="BE874" s="405"/>
      <c r="BF874" s="405"/>
      <c r="BG874" s="405"/>
      <c r="BH874" s="405"/>
      <c r="BI874" s="405"/>
      <c r="BJ874" s="405"/>
      <c r="BK874" s="405"/>
      <c r="BL874" s="405"/>
      <c r="BM874" s="405"/>
      <c r="BN874" s="405"/>
      <c r="BO874" s="405"/>
      <c r="BP874" s="405"/>
      <c r="BQ874" s="405"/>
      <c r="BR874" s="405"/>
      <c r="BS874" s="405"/>
      <c r="BT874" s="405"/>
      <c r="BU874" s="405"/>
      <c r="BV874" s="405"/>
      <c r="BW874" s="405"/>
      <c r="BX874" s="6"/>
      <c r="BY874" s="6"/>
      <c r="BZ874" s="6"/>
      <c r="CA874" s="6"/>
      <c r="CB874" s="6"/>
      <c r="CC874" s="6"/>
      <c r="CD874" s="6"/>
      <c r="CE874" s="6"/>
      <c r="CF874" s="6"/>
      <c r="CG874" s="6"/>
    </row>
    <row r="875" spans="1:85" ht="15.75" customHeight="1">
      <c r="A875" s="553"/>
      <c r="B875" s="223"/>
      <c r="C875" s="554"/>
      <c r="D875" s="223"/>
      <c r="E875" s="505"/>
      <c r="F875" s="505"/>
      <c r="G875" s="402"/>
      <c r="H875" s="505"/>
      <c r="I875" s="555"/>
      <c r="J875" s="555"/>
      <c r="K875" s="505"/>
      <c r="L875" s="404"/>
      <c r="M875" s="405"/>
      <c r="N875" s="505"/>
      <c r="O875" s="405"/>
      <c r="P875" s="405"/>
      <c r="Q875" s="405"/>
      <c r="R875" s="405"/>
      <c r="S875" s="405"/>
      <c r="T875" s="405"/>
      <c r="U875" s="505"/>
      <c r="V875" s="505"/>
      <c r="W875" s="505"/>
      <c r="X875" s="483"/>
      <c r="Y875" s="483"/>
      <c r="Z875" s="483"/>
      <c r="AA875" s="405"/>
      <c r="AB875" s="405"/>
      <c r="AC875" s="405"/>
      <c r="AD875" s="405"/>
      <c r="AE875" s="445"/>
      <c r="AF875" s="445"/>
      <c r="AG875" s="445"/>
      <c r="AH875" s="445"/>
      <c r="AI875" s="405"/>
      <c r="AJ875" s="405"/>
      <c r="AK875" s="405"/>
      <c r="AL875" s="405"/>
      <c r="AM875" s="405"/>
      <c r="AN875" s="405"/>
      <c r="AO875" s="405"/>
      <c r="AP875" s="405"/>
      <c r="AQ875" s="405"/>
      <c r="AR875" s="405"/>
      <c r="AS875" s="405"/>
      <c r="AT875" s="405"/>
      <c r="AU875" s="405"/>
      <c r="AV875" s="405"/>
      <c r="AW875" s="405"/>
      <c r="AX875" s="405"/>
      <c r="AY875" s="405"/>
      <c r="AZ875" s="405"/>
      <c r="BA875" s="405"/>
      <c r="BB875" s="405"/>
      <c r="BC875" s="405"/>
      <c r="BD875" s="405"/>
      <c r="BE875" s="405"/>
      <c r="BF875" s="405"/>
      <c r="BG875" s="405"/>
      <c r="BH875" s="405"/>
      <c r="BI875" s="405"/>
      <c r="BJ875" s="405"/>
      <c r="BK875" s="405"/>
      <c r="BL875" s="405"/>
      <c r="BM875" s="405"/>
      <c r="BN875" s="405"/>
      <c r="BO875" s="405"/>
      <c r="BP875" s="405"/>
      <c r="BQ875" s="405"/>
      <c r="BR875" s="405"/>
      <c r="BS875" s="405"/>
      <c r="BT875" s="405"/>
      <c r="BU875" s="405"/>
      <c r="BV875" s="405"/>
      <c r="BW875" s="405"/>
      <c r="BX875" s="6"/>
      <c r="BY875" s="6"/>
      <c r="BZ875" s="6"/>
      <c r="CA875" s="6"/>
      <c r="CB875" s="6"/>
      <c r="CC875" s="6"/>
      <c r="CD875" s="6"/>
      <c r="CE875" s="6"/>
      <c r="CF875" s="6"/>
      <c r="CG875" s="6"/>
    </row>
    <row r="876" spans="1:85" ht="15.75" customHeight="1">
      <c r="A876" s="553"/>
      <c r="B876" s="223"/>
      <c r="C876" s="554"/>
      <c r="D876" s="223"/>
      <c r="E876" s="505"/>
      <c r="F876" s="505"/>
      <c r="G876" s="402"/>
      <c r="H876" s="505"/>
      <c r="I876" s="555"/>
      <c r="J876" s="555"/>
      <c r="K876" s="505"/>
      <c r="L876" s="404"/>
      <c r="M876" s="405"/>
      <c r="N876" s="505"/>
      <c r="O876" s="405"/>
      <c r="P876" s="405"/>
      <c r="Q876" s="405"/>
      <c r="R876" s="405"/>
      <c r="S876" s="405"/>
      <c r="T876" s="405"/>
      <c r="U876" s="505"/>
      <c r="V876" s="505"/>
      <c r="W876" s="505"/>
      <c r="X876" s="483"/>
      <c r="Y876" s="483"/>
      <c r="Z876" s="483"/>
      <c r="AA876" s="405"/>
      <c r="AB876" s="405"/>
      <c r="AC876" s="405"/>
      <c r="AD876" s="405"/>
      <c r="AE876" s="445"/>
      <c r="AF876" s="445"/>
      <c r="AG876" s="445"/>
      <c r="AH876" s="445"/>
      <c r="AI876" s="405"/>
      <c r="AJ876" s="405"/>
      <c r="AK876" s="405"/>
      <c r="AL876" s="405"/>
      <c r="AM876" s="405"/>
      <c r="AN876" s="405"/>
      <c r="AO876" s="405"/>
      <c r="AP876" s="405"/>
      <c r="AQ876" s="405"/>
      <c r="AR876" s="405"/>
      <c r="AS876" s="405"/>
      <c r="AT876" s="405"/>
      <c r="AU876" s="405"/>
      <c r="AV876" s="405"/>
      <c r="AW876" s="405"/>
      <c r="AX876" s="405"/>
      <c r="AY876" s="405"/>
      <c r="AZ876" s="405"/>
      <c r="BA876" s="405"/>
      <c r="BB876" s="405"/>
      <c r="BC876" s="405"/>
      <c r="BD876" s="405"/>
      <c r="BE876" s="405"/>
      <c r="BF876" s="405"/>
      <c r="BG876" s="405"/>
      <c r="BH876" s="405"/>
      <c r="BI876" s="405"/>
      <c r="BJ876" s="405"/>
      <c r="BK876" s="405"/>
      <c r="BL876" s="405"/>
      <c r="BM876" s="405"/>
      <c r="BN876" s="405"/>
      <c r="BO876" s="405"/>
      <c r="BP876" s="405"/>
      <c r="BQ876" s="405"/>
      <c r="BR876" s="405"/>
      <c r="BS876" s="405"/>
      <c r="BT876" s="405"/>
      <c r="BU876" s="405"/>
      <c r="BV876" s="405"/>
      <c r="BW876" s="405"/>
      <c r="BX876" s="6"/>
      <c r="BY876" s="6"/>
      <c r="BZ876" s="6"/>
      <c r="CA876" s="6"/>
      <c r="CB876" s="6"/>
      <c r="CC876" s="6"/>
      <c r="CD876" s="6"/>
      <c r="CE876" s="6"/>
      <c r="CF876" s="6"/>
      <c r="CG876" s="6"/>
    </row>
    <row r="877" spans="1:85" ht="15.75" customHeight="1">
      <c r="A877" s="553"/>
      <c r="B877" s="223"/>
      <c r="C877" s="554"/>
      <c r="D877" s="223"/>
      <c r="E877" s="505"/>
      <c r="F877" s="505"/>
      <c r="G877" s="402"/>
      <c r="H877" s="505"/>
      <c r="I877" s="555"/>
      <c r="J877" s="555"/>
      <c r="K877" s="505"/>
      <c r="L877" s="404"/>
      <c r="M877" s="405"/>
      <c r="N877" s="505"/>
      <c r="O877" s="405"/>
      <c r="P877" s="405"/>
      <c r="Q877" s="405"/>
      <c r="R877" s="405"/>
      <c r="S877" s="405"/>
      <c r="T877" s="405"/>
      <c r="U877" s="505"/>
      <c r="V877" s="505"/>
      <c r="W877" s="505"/>
      <c r="X877" s="483"/>
      <c r="Y877" s="483"/>
      <c r="Z877" s="483"/>
      <c r="AA877" s="405"/>
      <c r="AB877" s="405"/>
      <c r="AC877" s="405"/>
      <c r="AD877" s="405"/>
      <c r="AE877" s="445"/>
      <c r="AF877" s="445"/>
      <c r="AG877" s="445"/>
      <c r="AH877" s="445"/>
      <c r="AI877" s="405"/>
      <c r="AJ877" s="405"/>
      <c r="AK877" s="405"/>
      <c r="AL877" s="405"/>
      <c r="AM877" s="405"/>
      <c r="AN877" s="405"/>
      <c r="AO877" s="405"/>
      <c r="AP877" s="405"/>
      <c r="AQ877" s="405"/>
      <c r="AR877" s="405"/>
      <c r="AS877" s="405"/>
      <c r="AT877" s="405"/>
      <c r="AU877" s="405"/>
      <c r="AV877" s="405"/>
      <c r="AW877" s="405"/>
      <c r="AX877" s="405"/>
      <c r="AY877" s="405"/>
      <c r="AZ877" s="405"/>
      <c r="BA877" s="405"/>
      <c r="BB877" s="405"/>
      <c r="BC877" s="405"/>
      <c r="BD877" s="405"/>
      <c r="BE877" s="405"/>
      <c r="BF877" s="405"/>
      <c r="BG877" s="405"/>
      <c r="BH877" s="405"/>
      <c r="BI877" s="405"/>
      <c r="BJ877" s="405"/>
      <c r="BK877" s="405"/>
      <c r="BL877" s="405"/>
      <c r="BM877" s="405"/>
      <c r="BN877" s="405"/>
      <c r="BO877" s="405"/>
      <c r="BP877" s="405"/>
      <c r="BQ877" s="405"/>
      <c r="BR877" s="405"/>
      <c r="BS877" s="405"/>
      <c r="BT877" s="405"/>
      <c r="BU877" s="405"/>
      <c r="BV877" s="405"/>
      <c r="BW877" s="405"/>
      <c r="BX877" s="6"/>
      <c r="BY877" s="6"/>
      <c r="BZ877" s="6"/>
      <c r="CA877" s="6"/>
      <c r="CB877" s="6"/>
      <c r="CC877" s="6"/>
      <c r="CD877" s="6"/>
      <c r="CE877" s="6"/>
      <c r="CF877" s="6"/>
      <c r="CG877" s="6"/>
    </row>
    <row r="878" spans="1:85" ht="15.75" customHeight="1">
      <c r="A878" s="553"/>
      <c r="B878" s="223"/>
      <c r="C878" s="554"/>
      <c r="D878" s="223"/>
      <c r="E878" s="505"/>
      <c r="F878" s="505"/>
      <c r="G878" s="402"/>
      <c r="H878" s="505"/>
      <c r="I878" s="555"/>
      <c r="J878" s="555"/>
      <c r="K878" s="505"/>
      <c r="L878" s="404"/>
      <c r="M878" s="405"/>
      <c r="N878" s="505"/>
      <c r="O878" s="405"/>
      <c r="P878" s="405"/>
      <c r="Q878" s="405"/>
      <c r="R878" s="405"/>
      <c r="S878" s="405"/>
      <c r="T878" s="405"/>
      <c r="U878" s="505"/>
      <c r="V878" s="505"/>
      <c r="W878" s="505"/>
      <c r="X878" s="483"/>
      <c r="Y878" s="483"/>
      <c r="Z878" s="483"/>
      <c r="AA878" s="405"/>
      <c r="AB878" s="405"/>
      <c r="AC878" s="405"/>
      <c r="AD878" s="405"/>
      <c r="AE878" s="445"/>
      <c r="AF878" s="445"/>
      <c r="AG878" s="445"/>
      <c r="AH878" s="445"/>
      <c r="AI878" s="405"/>
      <c r="AJ878" s="405"/>
      <c r="AK878" s="405"/>
      <c r="AL878" s="405"/>
      <c r="AM878" s="405"/>
      <c r="AN878" s="405"/>
      <c r="AO878" s="405"/>
      <c r="AP878" s="405"/>
      <c r="AQ878" s="405"/>
      <c r="AR878" s="405"/>
      <c r="AS878" s="405"/>
      <c r="AT878" s="405"/>
      <c r="AU878" s="405"/>
      <c r="AV878" s="405"/>
      <c r="AW878" s="405"/>
      <c r="AX878" s="405"/>
      <c r="AY878" s="405"/>
      <c r="AZ878" s="405"/>
      <c r="BA878" s="405"/>
      <c r="BB878" s="405"/>
      <c r="BC878" s="405"/>
      <c r="BD878" s="405"/>
      <c r="BE878" s="405"/>
      <c r="BF878" s="405"/>
      <c r="BG878" s="405"/>
      <c r="BH878" s="405"/>
      <c r="BI878" s="405"/>
      <c r="BJ878" s="405"/>
      <c r="BK878" s="405"/>
      <c r="BL878" s="405"/>
      <c r="BM878" s="405"/>
      <c r="BN878" s="405"/>
      <c r="BO878" s="405"/>
      <c r="BP878" s="405"/>
      <c r="BQ878" s="405"/>
      <c r="BR878" s="405"/>
      <c r="BS878" s="405"/>
      <c r="BT878" s="405"/>
      <c r="BU878" s="405"/>
      <c r="BV878" s="405"/>
      <c r="BW878" s="405"/>
      <c r="BX878" s="6"/>
      <c r="BY878" s="6"/>
      <c r="BZ878" s="6"/>
      <c r="CA878" s="6"/>
      <c r="CB878" s="6"/>
      <c r="CC878" s="6"/>
      <c r="CD878" s="6"/>
      <c r="CE878" s="6"/>
      <c r="CF878" s="6"/>
      <c r="CG878" s="6"/>
    </row>
    <row r="879" spans="1:85" ht="15.75" customHeight="1">
      <c r="A879" s="553"/>
      <c r="B879" s="223"/>
      <c r="C879" s="554"/>
      <c r="D879" s="223"/>
      <c r="E879" s="505"/>
      <c r="F879" s="505"/>
      <c r="G879" s="402"/>
      <c r="H879" s="505"/>
      <c r="I879" s="555"/>
      <c r="J879" s="555"/>
      <c r="K879" s="505"/>
      <c r="L879" s="404"/>
      <c r="M879" s="405"/>
      <c r="N879" s="505"/>
      <c r="O879" s="405"/>
      <c r="P879" s="405"/>
      <c r="Q879" s="405"/>
      <c r="R879" s="405"/>
      <c r="S879" s="405"/>
      <c r="T879" s="405"/>
      <c r="U879" s="505"/>
      <c r="V879" s="505"/>
      <c r="W879" s="505"/>
      <c r="X879" s="483"/>
      <c r="Y879" s="483"/>
      <c r="Z879" s="483"/>
      <c r="AA879" s="405"/>
      <c r="AB879" s="405"/>
      <c r="AC879" s="405"/>
      <c r="AD879" s="405"/>
      <c r="AE879" s="445"/>
      <c r="AF879" s="445"/>
      <c r="AG879" s="445"/>
      <c r="AH879" s="445"/>
      <c r="AI879" s="405"/>
      <c r="AJ879" s="405"/>
      <c r="AK879" s="405"/>
      <c r="AL879" s="405"/>
      <c r="AM879" s="405"/>
      <c r="AN879" s="405"/>
      <c r="AO879" s="405"/>
      <c r="AP879" s="405"/>
      <c r="AQ879" s="405"/>
      <c r="AR879" s="405"/>
      <c r="AS879" s="405"/>
      <c r="AT879" s="405"/>
      <c r="AU879" s="405"/>
      <c r="AV879" s="405"/>
      <c r="AW879" s="405"/>
      <c r="AX879" s="405"/>
      <c r="AY879" s="405"/>
      <c r="AZ879" s="405"/>
      <c r="BA879" s="405"/>
      <c r="BB879" s="405"/>
      <c r="BC879" s="405"/>
      <c r="BD879" s="405"/>
      <c r="BE879" s="405"/>
      <c r="BF879" s="405"/>
      <c r="BG879" s="405"/>
      <c r="BH879" s="405"/>
      <c r="BI879" s="405"/>
      <c r="BJ879" s="405"/>
      <c r="BK879" s="405"/>
      <c r="BL879" s="405"/>
      <c r="BM879" s="405"/>
      <c r="BN879" s="405"/>
      <c r="BO879" s="405"/>
      <c r="BP879" s="405"/>
      <c r="BQ879" s="405"/>
      <c r="BR879" s="405"/>
      <c r="BS879" s="405"/>
      <c r="BT879" s="405"/>
      <c r="BU879" s="405"/>
      <c r="BV879" s="405"/>
      <c r="BW879" s="405"/>
      <c r="BX879" s="6"/>
      <c r="BY879" s="6"/>
      <c r="BZ879" s="6"/>
      <c r="CA879" s="6"/>
      <c r="CB879" s="6"/>
      <c r="CC879" s="6"/>
      <c r="CD879" s="6"/>
      <c r="CE879" s="6"/>
      <c r="CF879" s="6"/>
      <c r="CG879" s="6"/>
    </row>
    <row r="880" spans="1:85" ht="15.75" customHeight="1">
      <c r="A880" s="553"/>
      <c r="B880" s="223"/>
      <c r="C880" s="554"/>
      <c r="D880" s="223"/>
      <c r="E880" s="505"/>
      <c r="F880" s="505"/>
      <c r="G880" s="402"/>
      <c r="H880" s="505"/>
      <c r="I880" s="555"/>
      <c r="J880" s="555"/>
      <c r="K880" s="505"/>
      <c r="L880" s="404"/>
      <c r="M880" s="405"/>
      <c r="N880" s="505"/>
      <c r="O880" s="405"/>
      <c r="P880" s="405"/>
      <c r="Q880" s="405"/>
      <c r="R880" s="405"/>
      <c r="S880" s="405"/>
      <c r="T880" s="405"/>
      <c r="U880" s="505"/>
      <c r="V880" s="505"/>
      <c r="W880" s="505"/>
      <c r="X880" s="483"/>
      <c r="Y880" s="483"/>
      <c r="Z880" s="483"/>
      <c r="AA880" s="405"/>
      <c r="AB880" s="405"/>
      <c r="AC880" s="405"/>
      <c r="AD880" s="405"/>
      <c r="AE880" s="445"/>
      <c r="AF880" s="445"/>
      <c r="AG880" s="445"/>
      <c r="AH880" s="445"/>
      <c r="AI880" s="405"/>
      <c r="AJ880" s="405"/>
      <c r="AK880" s="405"/>
      <c r="AL880" s="405"/>
      <c r="AM880" s="405"/>
      <c r="AN880" s="405"/>
      <c r="AO880" s="405"/>
      <c r="AP880" s="405"/>
      <c r="AQ880" s="405"/>
      <c r="AR880" s="405"/>
      <c r="AS880" s="405"/>
      <c r="AT880" s="405"/>
      <c r="AU880" s="405"/>
      <c r="AV880" s="405"/>
      <c r="AW880" s="405"/>
      <c r="AX880" s="405"/>
      <c r="AY880" s="405"/>
      <c r="AZ880" s="405"/>
      <c r="BA880" s="405"/>
      <c r="BB880" s="405"/>
      <c r="BC880" s="405"/>
      <c r="BD880" s="405"/>
      <c r="BE880" s="405"/>
      <c r="BF880" s="405"/>
      <c r="BG880" s="405"/>
      <c r="BH880" s="405"/>
      <c r="BI880" s="405"/>
      <c r="BJ880" s="405"/>
      <c r="BK880" s="405"/>
      <c r="BL880" s="405"/>
      <c r="BM880" s="405"/>
      <c r="BN880" s="405"/>
      <c r="BO880" s="405"/>
      <c r="BP880" s="405"/>
      <c r="BQ880" s="405"/>
      <c r="BR880" s="405"/>
      <c r="BS880" s="405"/>
      <c r="BT880" s="405"/>
      <c r="BU880" s="405"/>
      <c r="BV880" s="405"/>
      <c r="BW880" s="405"/>
      <c r="BX880" s="6"/>
      <c r="BY880" s="6"/>
      <c r="BZ880" s="6"/>
      <c r="CA880" s="6"/>
      <c r="CB880" s="6"/>
      <c r="CC880" s="6"/>
      <c r="CD880" s="6"/>
      <c r="CE880" s="6"/>
      <c r="CF880" s="6"/>
      <c r="CG880" s="6"/>
    </row>
    <row r="881" spans="1:85" ht="15.75" customHeight="1">
      <c r="A881" s="553"/>
      <c r="B881" s="223"/>
      <c r="C881" s="554"/>
      <c r="D881" s="223"/>
      <c r="E881" s="505"/>
      <c r="F881" s="505"/>
      <c r="G881" s="402"/>
      <c r="H881" s="505"/>
      <c r="I881" s="555"/>
      <c r="J881" s="555"/>
      <c r="K881" s="505"/>
      <c r="L881" s="404"/>
      <c r="M881" s="405"/>
      <c r="N881" s="505"/>
      <c r="O881" s="405"/>
      <c r="P881" s="405"/>
      <c r="Q881" s="405"/>
      <c r="R881" s="405"/>
      <c r="S881" s="405"/>
      <c r="T881" s="405"/>
      <c r="U881" s="505"/>
      <c r="V881" s="505"/>
      <c r="W881" s="505"/>
      <c r="X881" s="483"/>
      <c r="Y881" s="483"/>
      <c r="Z881" s="483"/>
      <c r="AA881" s="405"/>
      <c r="AB881" s="405"/>
      <c r="AC881" s="405"/>
      <c r="AD881" s="405"/>
      <c r="AE881" s="445"/>
      <c r="AF881" s="445"/>
      <c r="AG881" s="445"/>
      <c r="AH881" s="445"/>
      <c r="AI881" s="405"/>
      <c r="AJ881" s="405"/>
      <c r="AK881" s="405"/>
      <c r="AL881" s="405"/>
      <c r="AM881" s="405"/>
      <c r="AN881" s="405"/>
      <c r="AO881" s="405"/>
      <c r="AP881" s="405"/>
      <c r="AQ881" s="405"/>
      <c r="AR881" s="405"/>
      <c r="AS881" s="405"/>
      <c r="AT881" s="405"/>
      <c r="AU881" s="405"/>
      <c r="AV881" s="405"/>
      <c r="AW881" s="405"/>
      <c r="AX881" s="405"/>
      <c r="AY881" s="405"/>
      <c r="AZ881" s="405"/>
      <c r="BA881" s="405"/>
      <c r="BB881" s="405"/>
      <c r="BC881" s="405"/>
      <c r="BD881" s="405"/>
      <c r="BE881" s="405"/>
      <c r="BF881" s="405"/>
      <c r="BG881" s="405"/>
      <c r="BH881" s="405"/>
      <c r="BI881" s="405"/>
      <c r="BJ881" s="405"/>
      <c r="BK881" s="405"/>
      <c r="BL881" s="405"/>
      <c r="BM881" s="405"/>
      <c r="BN881" s="405"/>
      <c r="BO881" s="405"/>
      <c r="BP881" s="405"/>
      <c r="BQ881" s="405"/>
      <c r="BR881" s="405"/>
      <c r="BS881" s="405"/>
      <c r="BT881" s="405"/>
      <c r="BU881" s="405"/>
      <c r="BV881" s="405"/>
      <c r="BW881" s="405"/>
      <c r="BX881" s="6"/>
      <c r="BY881" s="6"/>
      <c r="BZ881" s="6"/>
      <c r="CA881" s="6"/>
      <c r="CB881" s="6"/>
      <c r="CC881" s="6"/>
      <c r="CD881" s="6"/>
      <c r="CE881" s="6"/>
      <c r="CF881" s="6"/>
      <c r="CG881" s="6"/>
    </row>
    <row r="882" spans="1:85" ht="15.75" customHeight="1">
      <c r="A882" s="553"/>
      <c r="B882" s="223"/>
      <c r="C882" s="554"/>
      <c r="D882" s="223"/>
      <c r="E882" s="505"/>
      <c r="F882" s="505"/>
      <c r="G882" s="402"/>
      <c r="H882" s="505"/>
      <c r="I882" s="555"/>
      <c r="J882" s="555"/>
      <c r="K882" s="505"/>
      <c r="L882" s="404"/>
      <c r="M882" s="405"/>
      <c r="N882" s="505"/>
      <c r="O882" s="405"/>
      <c r="P882" s="405"/>
      <c r="Q882" s="405"/>
      <c r="R882" s="405"/>
      <c r="S882" s="405"/>
      <c r="T882" s="405"/>
      <c r="U882" s="505"/>
      <c r="V882" s="505"/>
      <c r="W882" s="505"/>
      <c r="X882" s="483"/>
      <c r="Y882" s="483"/>
      <c r="Z882" s="483"/>
      <c r="AA882" s="405"/>
      <c r="AB882" s="405"/>
      <c r="AC882" s="405"/>
      <c r="AD882" s="405"/>
      <c r="AE882" s="445"/>
      <c r="AF882" s="445"/>
      <c r="AG882" s="445"/>
      <c r="AH882" s="445"/>
      <c r="AI882" s="405"/>
      <c r="AJ882" s="405"/>
      <c r="AK882" s="405"/>
      <c r="AL882" s="405"/>
      <c r="AM882" s="405"/>
      <c r="AN882" s="405"/>
      <c r="AO882" s="405"/>
      <c r="AP882" s="405"/>
      <c r="AQ882" s="405"/>
      <c r="AR882" s="405"/>
      <c r="AS882" s="405"/>
      <c r="AT882" s="405"/>
      <c r="AU882" s="405"/>
      <c r="AV882" s="405"/>
      <c r="AW882" s="405"/>
      <c r="AX882" s="405"/>
      <c r="AY882" s="405"/>
      <c r="AZ882" s="405"/>
      <c r="BA882" s="405"/>
      <c r="BB882" s="405"/>
      <c r="BC882" s="405"/>
      <c r="BD882" s="405"/>
      <c r="BE882" s="405"/>
      <c r="BF882" s="405"/>
      <c r="BG882" s="405"/>
      <c r="BH882" s="405"/>
      <c r="BI882" s="405"/>
      <c r="BJ882" s="405"/>
      <c r="BK882" s="405"/>
      <c r="BL882" s="405"/>
      <c r="BM882" s="405"/>
      <c r="BN882" s="405"/>
      <c r="BO882" s="405"/>
      <c r="BP882" s="405"/>
      <c r="BQ882" s="405"/>
      <c r="BR882" s="405"/>
      <c r="BS882" s="405"/>
      <c r="BT882" s="405"/>
      <c r="BU882" s="405"/>
      <c r="BV882" s="405"/>
      <c r="BW882" s="405"/>
      <c r="BX882" s="6"/>
      <c r="BY882" s="6"/>
      <c r="BZ882" s="6"/>
      <c r="CA882" s="6"/>
      <c r="CB882" s="6"/>
      <c r="CC882" s="6"/>
      <c r="CD882" s="6"/>
      <c r="CE882" s="6"/>
      <c r="CF882" s="6"/>
      <c r="CG882" s="6"/>
    </row>
    <row r="883" spans="1:85" ht="15.75" customHeight="1">
      <c r="A883" s="553"/>
      <c r="B883" s="223"/>
      <c r="C883" s="554"/>
      <c r="D883" s="223"/>
      <c r="E883" s="505"/>
      <c r="F883" s="505"/>
      <c r="G883" s="402"/>
      <c r="H883" s="505"/>
      <c r="I883" s="555"/>
      <c r="J883" s="555"/>
      <c r="K883" s="505"/>
      <c r="L883" s="404"/>
      <c r="M883" s="405"/>
      <c r="N883" s="505"/>
      <c r="O883" s="405"/>
      <c r="P883" s="405"/>
      <c r="Q883" s="405"/>
      <c r="R883" s="405"/>
      <c r="S883" s="405"/>
      <c r="T883" s="405"/>
      <c r="U883" s="505"/>
      <c r="V883" s="505"/>
      <c r="W883" s="505"/>
      <c r="X883" s="483"/>
      <c r="Y883" s="483"/>
      <c r="Z883" s="483"/>
      <c r="AA883" s="405"/>
      <c r="AB883" s="405"/>
      <c r="AC883" s="405"/>
      <c r="AD883" s="405"/>
      <c r="AE883" s="445"/>
      <c r="AF883" s="445"/>
      <c r="AG883" s="445"/>
      <c r="AH883" s="445"/>
      <c r="AI883" s="405"/>
      <c r="AJ883" s="405"/>
      <c r="AK883" s="405"/>
      <c r="AL883" s="405"/>
      <c r="AM883" s="405"/>
      <c r="AN883" s="405"/>
      <c r="AO883" s="405"/>
      <c r="AP883" s="405"/>
      <c r="AQ883" s="405"/>
      <c r="AR883" s="405"/>
      <c r="AS883" s="405"/>
      <c r="AT883" s="405"/>
      <c r="AU883" s="405"/>
      <c r="AV883" s="405"/>
      <c r="AW883" s="405"/>
      <c r="AX883" s="405"/>
      <c r="AY883" s="405"/>
      <c r="AZ883" s="405"/>
      <c r="BA883" s="405"/>
      <c r="BB883" s="405"/>
      <c r="BC883" s="405"/>
      <c r="BD883" s="405"/>
      <c r="BE883" s="405"/>
      <c r="BF883" s="405"/>
      <c r="BG883" s="405"/>
      <c r="BH883" s="405"/>
      <c r="BI883" s="405"/>
      <c r="BJ883" s="405"/>
      <c r="BK883" s="405"/>
      <c r="BL883" s="405"/>
      <c r="BM883" s="405"/>
      <c r="BN883" s="405"/>
      <c r="BO883" s="405"/>
      <c r="BP883" s="405"/>
      <c r="BQ883" s="405"/>
      <c r="BR883" s="405"/>
      <c r="BS883" s="405"/>
      <c r="BT883" s="405"/>
      <c r="BU883" s="405"/>
      <c r="BV883" s="405"/>
      <c r="BW883" s="405"/>
      <c r="BX883" s="6"/>
      <c r="BY883" s="6"/>
      <c r="BZ883" s="6"/>
      <c r="CA883" s="6"/>
      <c r="CB883" s="6"/>
      <c r="CC883" s="6"/>
      <c r="CD883" s="6"/>
      <c r="CE883" s="6"/>
      <c r="CF883" s="6"/>
      <c r="CG883" s="6"/>
    </row>
    <row r="884" spans="1:85" ht="15.75" customHeight="1">
      <c r="A884" s="553"/>
      <c r="B884" s="223"/>
      <c r="C884" s="554"/>
      <c r="D884" s="223"/>
      <c r="E884" s="505"/>
      <c r="F884" s="505"/>
      <c r="G884" s="402"/>
      <c r="H884" s="505"/>
      <c r="I884" s="555"/>
      <c r="J884" s="555"/>
      <c r="K884" s="505"/>
      <c r="L884" s="404"/>
      <c r="M884" s="405"/>
      <c r="N884" s="505"/>
      <c r="O884" s="405"/>
      <c r="P884" s="405"/>
      <c r="Q884" s="405"/>
      <c r="R884" s="405"/>
      <c r="S884" s="405"/>
      <c r="T884" s="405"/>
      <c r="U884" s="505"/>
      <c r="V884" s="505"/>
      <c r="W884" s="505"/>
      <c r="X884" s="483"/>
      <c r="Y884" s="483"/>
      <c r="Z884" s="483"/>
      <c r="AA884" s="405"/>
      <c r="AB884" s="405"/>
      <c r="AC884" s="405"/>
      <c r="AD884" s="405"/>
      <c r="AE884" s="445"/>
      <c r="AF884" s="445"/>
      <c r="AG884" s="445"/>
      <c r="AH884" s="445"/>
      <c r="AI884" s="405"/>
      <c r="AJ884" s="405"/>
      <c r="AK884" s="405"/>
      <c r="AL884" s="405"/>
      <c r="AM884" s="405"/>
      <c r="AN884" s="405"/>
      <c r="AO884" s="405"/>
      <c r="AP884" s="405"/>
      <c r="AQ884" s="405"/>
      <c r="AR884" s="405"/>
      <c r="AS884" s="405"/>
      <c r="AT884" s="405"/>
      <c r="AU884" s="405"/>
      <c r="AV884" s="405"/>
      <c r="AW884" s="405"/>
      <c r="AX884" s="405"/>
      <c r="AY884" s="405"/>
      <c r="AZ884" s="405"/>
      <c r="BA884" s="405"/>
      <c r="BB884" s="405"/>
      <c r="BC884" s="405"/>
      <c r="BD884" s="405"/>
      <c r="BE884" s="405"/>
      <c r="BF884" s="405"/>
      <c r="BG884" s="405"/>
      <c r="BH884" s="405"/>
      <c r="BI884" s="405"/>
      <c r="BJ884" s="405"/>
      <c r="BK884" s="405"/>
      <c r="BL884" s="405"/>
      <c r="BM884" s="405"/>
      <c r="BN884" s="405"/>
      <c r="BO884" s="405"/>
      <c r="BP884" s="405"/>
      <c r="BQ884" s="405"/>
      <c r="BR884" s="405"/>
      <c r="BS884" s="405"/>
      <c r="BT884" s="405"/>
      <c r="BU884" s="405"/>
      <c r="BV884" s="405"/>
      <c r="BW884" s="405"/>
      <c r="BX884" s="6"/>
      <c r="BY884" s="6"/>
      <c r="BZ884" s="6"/>
      <c r="CA884" s="6"/>
      <c r="CB884" s="6"/>
      <c r="CC884" s="6"/>
      <c r="CD884" s="6"/>
      <c r="CE884" s="6"/>
      <c r="CF884" s="6"/>
      <c r="CG884" s="6"/>
    </row>
    <row r="885" spans="1:85" ht="15.75" customHeight="1">
      <c r="A885" s="553"/>
      <c r="B885" s="223"/>
      <c r="C885" s="554"/>
      <c r="D885" s="223"/>
      <c r="E885" s="505"/>
      <c r="F885" s="505"/>
      <c r="G885" s="402"/>
      <c r="H885" s="505"/>
      <c r="I885" s="555"/>
      <c r="J885" s="555"/>
      <c r="K885" s="505"/>
      <c r="L885" s="404"/>
      <c r="M885" s="405"/>
      <c r="N885" s="505"/>
      <c r="O885" s="405"/>
      <c r="P885" s="405"/>
      <c r="Q885" s="405"/>
      <c r="R885" s="405"/>
      <c r="S885" s="405"/>
      <c r="T885" s="405"/>
      <c r="U885" s="505"/>
      <c r="V885" s="505"/>
      <c r="W885" s="505"/>
      <c r="X885" s="483"/>
      <c r="Y885" s="483"/>
      <c r="Z885" s="483"/>
      <c r="AA885" s="405"/>
      <c r="AB885" s="405"/>
      <c r="AC885" s="405"/>
      <c r="AD885" s="405"/>
      <c r="AE885" s="445"/>
      <c r="AF885" s="445"/>
      <c r="AG885" s="445"/>
      <c r="AH885" s="445"/>
      <c r="AI885" s="405"/>
      <c r="AJ885" s="405"/>
      <c r="AK885" s="405"/>
      <c r="AL885" s="405"/>
      <c r="AM885" s="405"/>
      <c r="AN885" s="405"/>
      <c r="AO885" s="405"/>
      <c r="AP885" s="405"/>
      <c r="AQ885" s="405"/>
      <c r="AR885" s="405"/>
      <c r="AS885" s="405"/>
      <c r="AT885" s="405"/>
      <c r="AU885" s="405"/>
      <c r="AV885" s="405"/>
      <c r="AW885" s="405"/>
      <c r="AX885" s="405"/>
      <c r="AY885" s="405"/>
      <c r="AZ885" s="405"/>
      <c r="BA885" s="405"/>
      <c r="BB885" s="405"/>
      <c r="BC885" s="405"/>
      <c r="BD885" s="405"/>
      <c r="BE885" s="405"/>
      <c r="BF885" s="405"/>
      <c r="BG885" s="405"/>
      <c r="BH885" s="405"/>
      <c r="BI885" s="405"/>
      <c r="BJ885" s="405"/>
      <c r="BK885" s="405"/>
      <c r="BL885" s="405"/>
      <c r="BM885" s="405"/>
      <c r="BN885" s="405"/>
      <c r="BO885" s="405"/>
      <c r="BP885" s="405"/>
      <c r="BQ885" s="405"/>
      <c r="BR885" s="405"/>
      <c r="BS885" s="405"/>
      <c r="BT885" s="405"/>
      <c r="BU885" s="405"/>
      <c r="BV885" s="405"/>
      <c r="BW885" s="405"/>
      <c r="BX885" s="6"/>
      <c r="BY885" s="6"/>
      <c r="BZ885" s="6"/>
      <c r="CA885" s="6"/>
      <c r="CB885" s="6"/>
      <c r="CC885" s="6"/>
      <c r="CD885" s="6"/>
      <c r="CE885" s="6"/>
      <c r="CF885" s="6"/>
      <c r="CG885" s="6"/>
    </row>
    <row r="886" spans="1:85" ht="15.75" customHeight="1">
      <c r="A886" s="553"/>
      <c r="B886" s="223"/>
      <c r="C886" s="554"/>
      <c r="D886" s="223"/>
      <c r="E886" s="505"/>
      <c r="F886" s="505"/>
      <c r="G886" s="402"/>
      <c r="H886" s="505"/>
      <c r="I886" s="555"/>
      <c r="J886" s="555"/>
      <c r="K886" s="505"/>
      <c r="L886" s="404"/>
      <c r="M886" s="405"/>
      <c r="N886" s="505"/>
      <c r="O886" s="405"/>
      <c r="P886" s="405"/>
      <c r="Q886" s="405"/>
      <c r="R886" s="405"/>
      <c r="S886" s="405"/>
      <c r="T886" s="405"/>
      <c r="U886" s="505"/>
      <c r="V886" s="505"/>
      <c r="W886" s="505"/>
      <c r="X886" s="483"/>
      <c r="Y886" s="483"/>
      <c r="Z886" s="483"/>
      <c r="AA886" s="405"/>
      <c r="AB886" s="405"/>
      <c r="AC886" s="405"/>
      <c r="AD886" s="405"/>
      <c r="AE886" s="445"/>
      <c r="AF886" s="445"/>
      <c r="AG886" s="445"/>
      <c r="AH886" s="445"/>
      <c r="AI886" s="405"/>
      <c r="AJ886" s="405"/>
      <c r="AK886" s="405"/>
      <c r="AL886" s="405"/>
      <c r="AM886" s="405"/>
      <c r="AN886" s="405"/>
      <c r="AO886" s="405"/>
      <c r="AP886" s="405"/>
      <c r="AQ886" s="405"/>
      <c r="AR886" s="405"/>
      <c r="AS886" s="405"/>
      <c r="AT886" s="405"/>
      <c r="AU886" s="405"/>
      <c r="AV886" s="405"/>
      <c r="AW886" s="405"/>
      <c r="AX886" s="405"/>
      <c r="AY886" s="405"/>
      <c r="AZ886" s="405"/>
      <c r="BA886" s="405"/>
      <c r="BB886" s="405"/>
      <c r="BC886" s="405"/>
      <c r="BD886" s="405"/>
      <c r="BE886" s="405"/>
      <c r="BF886" s="405"/>
      <c r="BG886" s="405"/>
      <c r="BH886" s="405"/>
      <c r="BI886" s="405"/>
      <c r="BJ886" s="405"/>
      <c r="BK886" s="405"/>
      <c r="BL886" s="405"/>
      <c r="BM886" s="405"/>
      <c r="BN886" s="405"/>
      <c r="BO886" s="405"/>
      <c r="BP886" s="405"/>
      <c r="BQ886" s="405"/>
      <c r="BR886" s="405"/>
      <c r="BS886" s="405"/>
      <c r="BT886" s="405"/>
      <c r="BU886" s="405"/>
      <c r="BV886" s="405"/>
      <c r="BW886" s="405"/>
      <c r="BX886" s="6"/>
      <c r="BY886" s="6"/>
      <c r="BZ886" s="6"/>
      <c r="CA886" s="6"/>
      <c r="CB886" s="6"/>
      <c r="CC886" s="6"/>
      <c r="CD886" s="6"/>
      <c r="CE886" s="6"/>
      <c r="CF886" s="6"/>
      <c r="CG886" s="6"/>
    </row>
    <row r="887" spans="1:85" ht="15.75" customHeight="1">
      <c r="A887" s="553"/>
      <c r="B887" s="223"/>
      <c r="C887" s="554"/>
      <c r="D887" s="223"/>
      <c r="E887" s="505"/>
      <c r="F887" s="505"/>
      <c r="G887" s="402"/>
      <c r="H887" s="505"/>
      <c r="I887" s="555"/>
      <c r="J887" s="555"/>
      <c r="K887" s="505"/>
      <c r="L887" s="404"/>
      <c r="M887" s="405"/>
      <c r="N887" s="505"/>
      <c r="O887" s="405"/>
      <c r="P887" s="405"/>
      <c r="Q887" s="405"/>
      <c r="R887" s="405"/>
      <c r="S887" s="405"/>
      <c r="T887" s="405"/>
      <c r="U887" s="505"/>
      <c r="V887" s="505"/>
      <c r="W887" s="505"/>
      <c r="X887" s="483"/>
      <c r="Y887" s="483"/>
      <c r="Z887" s="483"/>
      <c r="AA887" s="405"/>
      <c r="AB887" s="405"/>
      <c r="AC887" s="405"/>
      <c r="AD887" s="405"/>
      <c r="AE887" s="445"/>
      <c r="AF887" s="445"/>
      <c r="AG887" s="445"/>
      <c r="AH887" s="445"/>
      <c r="AI887" s="405"/>
      <c r="AJ887" s="405"/>
      <c r="AK887" s="405"/>
      <c r="AL887" s="405"/>
      <c r="AM887" s="405"/>
      <c r="AN887" s="405"/>
      <c r="AO887" s="405"/>
      <c r="AP887" s="405"/>
      <c r="AQ887" s="405"/>
      <c r="AR887" s="405"/>
      <c r="AS887" s="405"/>
      <c r="AT887" s="405"/>
      <c r="AU887" s="405"/>
      <c r="AV887" s="405"/>
      <c r="AW887" s="405"/>
      <c r="AX887" s="405"/>
      <c r="AY887" s="405"/>
      <c r="AZ887" s="405"/>
      <c r="BA887" s="405"/>
      <c r="BB887" s="405"/>
      <c r="BC887" s="405"/>
      <c r="BD887" s="405"/>
      <c r="BE887" s="405"/>
      <c r="BF887" s="405"/>
      <c r="BG887" s="405"/>
      <c r="BH887" s="405"/>
      <c r="BI887" s="405"/>
      <c r="BJ887" s="405"/>
      <c r="BK887" s="405"/>
      <c r="BL887" s="405"/>
      <c r="BM887" s="405"/>
      <c r="BN887" s="405"/>
      <c r="BO887" s="405"/>
      <c r="BP887" s="405"/>
      <c r="BQ887" s="405"/>
      <c r="BR887" s="405"/>
      <c r="BS887" s="405"/>
      <c r="BT887" s="405"/>
      <c r="BU887" s="405"/>
      <c r="BV887" s="405"/>
      <c r="BW887" s="405"/>
      <c r="BX887" s="6"/>
      <c r="BY887" s="6"/>
      <c r="BZ887" s="6"/>
      <c r="CA887" s="6"/>
      <c r="CB887" s="6"/>
      <c r="CC887" s="6"/>
      <c r="CD887" s="6"/>
      <c r="CE887" s="6"/>
      <c r="CF887" s="6"/>
      <c r="CG887" s="6"/>
    </row>
    <row r="888" spans="1:85" ht="15.75" customHeight="1">
      <c r="A888" s="553"/>
      <c r="B888" s="223"/>
      <c r="C888" s="554"/>
      <c r="D888" s="223"/>
      <c r="E888" s="505"/>
      <c r="F888" s="505"/>
      <c r="G888" s="402"/>
      <c r="H888" s="505"/>
      <c r="I888" s="555"/>
      <c r="J888" s="555"/>
      <c r="K888" s="505"/>
      <c r="L888" s="404"/>
      <c r="M888" s="405"/>
      <c r="N888" s="505"/>
      <c r="O888" s="405"/>
      <c r="P888" s="405"/>
      <c r="Q888" s="405"/>
      <c r="R888" s="405"/>
      <c r="S888" s="405"/>
      <c r="T888" s="405"/>
      <c r="U888" s="505"/>
      <c r="V888" s="505"/>
      <c r="W888" s="505"/>
      <c r="X888" s="483"/>
      <c r="Y888" s="483"/>
      <c r="Z888" s="483"/>
      <c r="AA888" s="405"/>
      <c r="AB888" s="405"/>
      <c r="AC888" s="405"/>
      <c r="AD888" s="405"/>
      <c r="AE888" s="445"/>
      <c r="AF888" s="445"/>
      <c r="AG888" s="445"/>
      <c r="AH888" s="445"/>
      <c r="AI888" s="405"/>
      <c r="AJ888" s="405"/>
      <c r="AK888" s="405"/>
      <c r="AL888" s="405"/>
      <c r="AM888" s="405"/>
      <c r="AN888" s="405"/>
      <c r="AO888" s="405"/>
      <c r="AP888" s="405"/>
      <c r="AQ888" s="405"/>
      <c r="AR888" s="405"/>
      <c r="AS888" s="405"/>
      <c r="AT888" s="405"/>
      <c r="AU888" s="405"/>
      <c r="AV888" s="405"/>
      <c r="AW888" s="405"/>
      <c r="AX888" s="405"/>
      <c r="AY888" s="405"/>
      <c r="AZ888" s="405"/>
      <c r="BA888" s="405"/>
      <c r="BB888" s="405"/>
      <c r="BC888" s="405"/>
      <c r="BD888" s="405"/>
      <c r="BE888" s="405"/>
      <c r="BF888" s="405"/>
      <c r="BG888" s="405"/>
      <c r="BH888" s="405"/>
      <c r="BI888" s="405"/>
      <c r="BJ888" s="405"/>
      <c r="BK888" s="405"/>
      <c r="BL888" s="405"/>
      <c r="BM888" s="405"/>
      <c r="BN888" s="405"/>
      <c r="BO888" s="405"/>
      <c r="BP888" s="405"/>
      <c r="BQ888" s="405"/>
      <c r="BR888" s="405"/>
      <c r="BS888" s="405"/>
      <c r="BT888" s="405"/>
      <c r="BU888" s="405"/>
      <c r="BV888" s="405"/>
      <c r="BW888" s="405"/>
      <c r="BX888" s="6"/>
      <c r="BY888" s="6"/>
      <c r="BZ888" s="6"/>
      <c r="CA888" s="6"/>
      <c r="CB888" s="6"/>
      <c r="CC888" s="6"/>
      <c r="CD888" s="6"/>
      <c r="CE888" s="6"/>
      <c r="CF888" s="6"/>
      <c r="CG888" s="6"/>
    </row>
    <row r="889" spans="1:85" ht="15.75" customHeight="1">
      <c r="A889" s="553"/>
      <c r="B889" s="223"/>
      <c r="C889" s="554"/>
      <c r="D889" s="223"/>
      <c r="E889" s="505"/>
      <c r="F889" s="505"/>
      <c r="G889" s="402"/>
      <c r="H889" s="505"/>
      <c r="I889" s="555"/>
      <c r="J889" s="555"/>
      <c r="K889" s="505"/>
      <c r="L889" s="404"/>
      <c r="M889" s="405"/>
      <c r="N889" s="505"/>
      <c r="O889" s="405"/>
      <c r="P889" s="405"/>
      <c r="Q889" s="405"/>
      <c r="R889" s="405"/>
      <c r="S889" s="405"/>
      <c r="T889" s="405"/>
      <c r="U889" s="505"/>
      <c r="V889" s="505"/>
      <c r="W889" s="505"/>
      <c r="X889" s="483"/>
      <c r="Y889" s="483"/>
      <c r="Z889" s="483"/>
      <c r="AA889" s="405"/>
      <c r="AB889" s="405"/>
      <c r="AC889" s="405"/>
      <c r="AD889" s="405"/>
      <c r="AE889" s="445"/>
      <c r="AF889" s="445"/>
      <c r="AG889" s="445"/>
      <c r="AH889" s="445"/>
      <c r="AI889" s="405"/>
      <c r="AJ889" s="405"/>
      <c r="AK889" s="405"/>
      <c r="AL889" s="405"/>
      <c r="AM889" s="405"/>
      <c r="AN889" s="405"/>
      <c r="AO889" s="405"/>
      <c r="AP889" s="405"/>
      <c r="AQ889" s="405"/>
      <c r="AR889" s="405"/>
      <c r="AS889" s="405"/>
      <c r="AT889" s="405"/>
      <c r="AU889" s="405"/>
      <c r="AV889" s="405"/>
      <c r="AW889" s="405"/>
      <c r="AX889" s="405"/>
      <c r="AY889" s="405"/>
      <c r="AZ889" s="405"/>
      <c r="BA889" s="405"/>
      <c r="BB889" s="405"/>
      <c r="BC889" s="405"/>
      <c r="BD889" s="405"/>
      <c r="BE889" s="405"/>
      <c r="BF889" s="405"/>
      <c r="BG889" s="405"/>
      <c r="BH889" s="405"/>
      <c r="BI889" s="405"/>
      <c r="BJ889" s="405"/>
      <c r="BK889" s="405"/>
      <c r="BL889" s="405"/>
      <c r="BM889" s="405"/>
      <c r="BN889" s="405"/>
      <c r="BO889" s="405"/>
      <c r="BP889" s="405"/>
      <c r="BQ889" s="405"/>
      <c r="BR889" s="405"/>
      <c r="BS889" s="405"/>
      <c r="BT889" s="405"/>
      <c r="BU889" s="405"/>
      <c r="BV889" s="405"/>
      <c r="BW889" s="405"/>
      <c r="BX889" s="6"/>
      <c r="BY889" s="6"/>
      <c r="BZ889" s="6"/>
      <c r="CA889" s="6"/>
      <c r="CB889" s="6"/>
      <c r="CC889" s="6"/>
      <c r="CD889" s="6"/>
      <c r="CE889" s="6"/>
      <c r="CF889" s="6"/>
      <c r="CG889" s="6"/>
    </row>
    <row r="890" spans="1:85" ht="15.75" customHeight="1">
      <c r="A890" s="553"/>
      <c r="B890" s="223"/>
      <c r="C890" s="554"/>
      <c r="D890" s="223"/>
      <c r="E890" s="505"/>
      <c r="F890" s="505"/>
      <c r="G890" s="402"/>
      <c r="H890" s="505"/>
      <c r="I890" s="555"/>
      <c r="J890" s="555"/>
      <c r="K890" s="505"/>
      <c r="L890" s="404"/>
      <c r="M890" s="405"/>
      <c r="N890" s="505"/>
      <c r="O890" s="405"/>
      <c r="P890" s="405"/>
      <c r="Q890" s="405"/>
      <c r="R890" s="405"/>
      <c r="S890" s="405"/>
      <c r="T890" s="405"/>
      <c r="U890" s="505"/>
      <c r="V890" s="505"/>
      <c r="W890" s="505"/>
      <c r="X890" s="483"/>
      <c r="Y890" s="483"/>
      <c r="Z890" s="483"/>
      <c r="AA890" s="405"/>
      <c r="AB890" s="405"/>
      <c r="AC890" s="405"/>
      <c r="AD890" s="405"/>
      <c r="AE890" s="445"/>
      <c r="AF890" s="445"/>
      <c r="AG890" s="445"/>
      <c r="AH890" s="445"/>
      <c r="AI890" s="405"/>
      <c r="AJ890" s="405"/>
      <c r="AK890" s="405"/>
      <c r="AL890" s="405"/>
      <c r="AM890" s="405"/>
      <c r="AN890" s="405"/>
      <c r="AO890" s="405"/>
      <c r="AP890" s="405"/>
      <c r="AQ890" s="405"/>
      <c r="AR890" s="405"/>
      <c r="AS890" s="405"/>
      <c r="AT890" s="405"/>
      <c r="AU890" s="405"/>
      <c r="AV890" s="405"/>
      <c r="AW890" s="405"/>
      <c r="AX890" s="405"/>
      <c r="AY890" s="405"/>
      <c r="AZ890" s="405"/>
      <c r="BA890" s="405"/>
      <c r="BB890" s="405"/>
      <c r="BC890" s="405"/>
      <c r="BD890" s="405"/>
      <c r="BE890" s="405"/>
      <c r="BF890" s="405"/>
      <c r="BG890" s="405"/>
      <c r="BH890" s="405"/>
      <c r="BI890" s="405"/>
      <c r="BJ890" s="405"/>
      <c r="BK890" s="405"/>
      <c r="BL890" s="405"/>
      <c r="BM890" s="405"/>
      <c r="BN890" s="405"/>
      <c r="BO890" s="405"/>
      <c r="BP890" s="405"/>
      <c r="BQ890" s="405"/>
      <c r="BR890" s="405"/>
      <c r="BS890" s="405"/>
      <c r="BT890" s="405"/>
      <c r="BU890" s="405"/>
      <c r="BV890" s="405"/>
      <c r="BW890" s="405"/>
      <c r="BX890" s="6"/>
      <c r="BY890" s="6"/>
      <c r="BZ890" s="6"/>
      <c r="CA890" s="6"/>
      <c r="CB890" s="6"/>
      <c r="CC890" s="6"/>
      <c r="CD890" s="6"/>
      <c r="CE890" s="6"/>
      <c r="CF890" s="6"/>
      <c r="CG890" s="6"/>
    </row>
    <row r="891" spans="1:85" ht="15.75" customHeight="1">
      <c r="A891" s="553"/>
      <c r="B891" s="223"/>
      <c r="C891" s="554"/>
      <c r="D891" s="223"/>
      <c r="E891" s="505"/>
      <c r="F891" s="505"/>
      <c r="G891" s="402"/>
      <c r="H891" s="505"/>
      <c r="I891" s="555"/>
      <c r="J891" s="555"/>
      <c r="K891" s="505"/>
      <c r="L891" s="404"/>
      <c r="M891" s="405"/>
      <c r="N891" s="505"/>
      <c r="O891" s="405"/>
      <c r="P891" s="405"/>
      <c r="Q891" s="405"/>
      <c r="R891" s="405"/>
      <c r="S891" s="405"/>
      <c r="T891" s="405"/>
      <c r="U891" s="505"/>
      <c r="V891" s="505"/>
      <c r="W891" s="505"/>
      <c r="X891" s="483"/>
      <c r="Y891" s="483"/>
      <c r="Z891" s="483"/>
      <c r="AA891" s="405"/>
      <c r="AB891" s="405"/>
      <c r="AC891" s="405"/>
      <c r="AD891" s="405"/>
      <c r="AE891" s="445"/>
      <c r="AF891" s="445"/>
      <c r="AG891" s="445"/>
      <c r="AH891" s="445"/>
      <c r="AI891" s="405"/>
      <c r="AJ891" s="405"/>
      <c r="AK891" s="405"/>
      <c r="AL891" s="405"/>
      <c r="AM891" s="405"/>
      <c r="AN891" s="405"/>
      <c r="AO891" s="405"/>
      <c r="AP891" s="405"/>
      <c r="AQ891" s="405"/>
      <c r="AR891" s="405"/>
      <c r="AS891" s="405"/>
      <c r="AT891" s="405"/>
      <c r="AU891" s="405"/>
      <c r="AV891" s="405"/>
      <c r="AW891" s="405"/>
      <c r="AX891" s="405"/>
      <c r="AY891" s="405"/>
      <c r="AZ891" s="405"/>
      <c r="BA891" s="405"/>
      <c r="BB891" s="405"/>
      <c r="BC891" s="405"/>
      <c r="BD891" s="405"/>
      <c r="BE891" s="405"/>
      <c r="BF891" s="405"/>
      <c r="BG891" s="405"/>
      <c r="BH891" s="405"/>
      <c r="BI891" s="405"/>
      <c r="BJ891" s="405"/>
      <c r="BK891" s="405"/>
      <c r="BL891" s="405"/>
      <c r="BM891" s="405"/>
      <c r="BN891" s="405"/>
      <c r="BO891" s="405"/>
      <c r="BP891" s="405"/>
      <c r="BQ891" s="405"/>
      <c r="BR891" s="405"/>
      <c r="BS891" s="405"/>
      <c r="BT891" s="405"/>
      <c r="BU891" s="405"/>
      <c r="BV891" s="405"/>
      <c r="BW891" s="405"/>
      <c r="BX891" s="6"/>
      <c r="BY891" s="6"/>
      <c r="BZ891" s="6"/>
      <c r="CA891" s="6"/>
      <c r="CB891" s="6"/>
      <c r="CC891" s="6"/>
      <c r="CD891" s="6"/>
      <c r="CE891" s="6"/>
      <c r="CF891" s="6"/>
      <c r="CG891" s="6"/>
    </row>
    <row r="892" spans="1:85" ht="15.75" customHeight="1">
      <c r="A892" s="553"/>
      <c r="B892" s="223"/>
      <c r="C892" s="554"/>
      <c r="D892" s="223"/>
      <c r="E892" s="505"/>
      <c r="F892" s="505"/>
      <c r="G892" s="402"/>
      <c r="H892" s="505"/>
      <c r="I892" s="555"/>
      <c r="J892" s="555"/>
      <c r="K892" s="505"/>
      <c r="L892" s="404"/>
      <c r="M892" s="405"/>
      <c r="N892" s="505"/>
      <c r="O892" s="405"/>
      <c r="P892" s="405"/>
      <c r="Q892" s="405"/>
      <c r="R892" s="405"/>
      <c r="S892" s="405"/>
      <c r="T892" s="405"/>
      <c r="U892" s="505"/>
      <c r="V892" s="505"/>
      <c r="W892" s="505"/>
      <c r="X892" s="483"/>
      <c r="Y892" s="483"/>
      <c r="Z892" s="483"/>
      <c r="AA892" s="405"/>
      <c r="AB892" s="405"/>
      <c r="AC892" s="405"/>
      <c r="AD892" s="405"/>
      <c r="AE892" s="445"/>
      <c r="AF892" s="445"/>
      <c r="AG892" s="445"/>
      <c r="AH892" s="445"/>
      <c r="AI892" s="405"/>
      <c r="AJ892" s="405"/>
      <c r="AK892" s="405"/>
      <c r="AL892" s="405"/>
      <c r="AM892" s="405"/>
      <c r="AN892" s="405"/>
      <c r="AO892" s="405"/>
      <c r="AP892" s="405"/>
      <c r="AQ892" s="405"/>
      <c r="AR892" s="405"/>
      <c r="AS892" s="405"/>
      <c r="AT892" s="405"/>
      <c r="AU892" s="405"/>
      <c r="AV892" s="405"/>
      <c r="AW892" s="405"/>
      <c r="AX892" s="405"/>
      <c r="AY892" s="405"/>
      <c r="AZ892" s="405"/>
      <c r="BA892" s="405"/>
      <c r="BB892" s="405"/>
      <c r="BC892" s="405"/>
      <c r="BD892" s="405"/>
      <c r="BE892" s="405"/>
      <c r="BF892" s="405"/>
      <c r="BG892" s="405"/>
      <c r="BH892" s="405"/>
      <c r="BI892" s="405"/>
      <c r="BJ892" s="405"/>
      <c r="BK892" s="405"/>
      <c r="BL892" s="405"/>
      <c r="BM892" s="405"/>
      <c r="BN892" s="405"/>
      <c r="BO892" s="405"/>
      <c r="BP892" s="405"/>
      <c r="BQ892" s="405"/>
      <c r="BR892" s="405"/>
      <c r="BS892" s="405"/>
      <c r="BT892" s="405"/>
      <c r="BU892" s="405"/>
      <c r="BV892" s="405"/>
      <c r="BW892" s="405"/>
      <c r="BX892" s="6"/>
      <c r="BY892" s="6"/>
      <c r="BZ892" s="6"/>
      <c r="CA892" s="6"/>
      <c r="CB892" s="6"/>
      <c r="CC892" s="6"/>
      <c r="CD892" s="6"/>
      <c r="CE892" s="6"/>
      <c r="CF892" s="6"/>
      <c r="CG892" s="6"/>
    </row>
    <row r="893" spans="1:85" ht="15.75" customHeight="1">
      <c r="A893" s="553"/>
      <c r="B893" s="223"/>
      <c r="C893" s="554"/>
      <c r="D893" s="223"/>
      <c r="E893" s="505"/>
      <c r="F893" s="505"/>
      <c r="G893" s="402"/>
      <c r="H893" s="505"/>
      <c r="I893" s="555"/>
      <c r="J893" s="555"/>
      <c r="K893" s="505"/>
      <c r="L893" s="404"/>
      <c r="M893" s="405"/>
      <c r="N893" s="505"/>
      <c r="O893" s="405"/>
      <c r="P893" s="405"/>
      <c r="Q893" s="405"/>
      <c r="R893" s="405"/>
      <c r="S893" s="405"/>
      <c r="T893" s="405"/>
      <c r="U893" s="505"/>
      <c r="V893" s="505"/>
      <c r="W893" s="505"/>
      <c r="X893" s="483"/>
      <c r="Y893" s="483"/>
      <c r="Z893" s="483"/>
      <c r="AA893" s="405"/>
      <c r="AB893" s="405"/>
      <c r="AC893" s="405"/>
      <c r="AD893" s="405"/>
      <c r="AE893" s="445"/>
      <c r="AF893" s="445"/>
      <c r="AG893" s="445"/>
      <c r="AH893" s="445"/>
      <c r="AI893" s="405"/>
      <c r="AJ893" s="405"/>
      <c r="AK893" s="405"/>
      <c r="AL893" s="405"/>
      <c r="AM893" s="405"/>
      <c r="AN893" s="405"/>
      <c r="AO893" s="405"/>
      <c r="AP893" s="405"/>
      <c r="AQ893" s="405"/>
      <c r="AR893" s="405"/>
      <c r="AS893" s="405"/>
      <c r="AT893" s="405"/>
      <c r="AU893" s="405"/>
      <c r="AV893" s="405"/>
      <c r="AW893" s="405"/>
      <c r="AX893" s="405"/>
      <c r="AY893" s="405"/>
      <c r="AZ893" s="405"/>
      <c r="BA893" s="405"/>
      <c r="BB893" s="405"/>
      <c r="BC893" s="405"/>
      <c r="BD893" s="405"/>
      <c r="BE893" s="405"/>
      <c r="BF893" s="405"/>
      <c r="BG893" s="405"/>
      <c r="BH893" s="405"/>
      <c r="BI893" s="405"/>
      <c r="BJ893" s="405"/>
      <c r="BK893" s="405"/>
      <c r="BL893" s="405"/>
      <c r="BM893" s="405"/>
      <c r="BN893" s="405"/>
      <c r="BO893" s="405"/>
      <c r="BP893" s="405"/>
      <c r="BQ893" s="405"/>
      <c r="BR893" s="405"/>
      <c r="BS893" s="405"/>
      <c r="BT893" s="405"/>
      <c r="BU893" s="405"/>
      <c r="BV893" s="405"/>
      <c r="BW893" s="405"/>
      <c r="BX893" s="6"/>
      <c r="BY893" s="6"/>
      <c r="BZ893" s="6"/>
      <c r="CA893" s="6"/>
      <c r="CB893" s="6"/>
      <c r="CC893" s="6"/>
      <c r="CD893" s="6"/>
      <c r="CE893" s="6"/>
      <c r="CF893" s="6"/>
      <c r="CG893" s="6"/>
    </row>
    <row r="894" spans="1:85" ht="15.75" customHeight="1">
      <c r="A894" s="553"/>
      <c r="B894" s="223"/>
      <c r="C894" s="554"/>
      <c r="D894" s="223"/>
      <c r="E894" s="505"/>
      <c r="F894" s="505"/>
      <c r="G894" s="402"/>
      <c r="H894" s="505"/>
      <c r="I894" s="555"/>
      <c r="J894" s="555"/>
      <c r="K894" s="505"/>
      <c r="L894" s="404"/>
      <c r="M894" s="405"/>
      <c r="N894" s="505"/>
      <c r="O894" s="405"/>
      <c r="P894" s="405"/>
      <c r="Q894" s="405"/>
      <c r="R894" s="405"/>
      <c r="S894" s="405"/>
      <c r="T894" s="405"/>
      <c r="U894" s="505"/>
      <c r="V894" s="505"/>
      <c r="W894" s="505"/>
      <c r="X894" s="483"/>
      <c r="Y894" s="483"/>
      <c r="Z894" s="483"/>
      <c r="AA894" s="405"/>
      <c r="AB894" s="405"/>
      <c r="AC894" s="405"/>
      <c r="AD894" s="405"/>
      <c r="AE894" s="445"/>
      <c r="AF894" s="445"/>
      <c r="AG894" s="445"/>
      <c r="AH894" s="445"/>
      <c r="AI894" s="405"/>
      <c r="AJ894" s="405"/>
      <c r="AK894" s="405"/>
      <c r="AL894" s="405"/>
      <c r="AM894" s="405"/>
      <c r="AN894" s="405"/>
      <c r="AO894" s="405"/>
      <c r="AP894" s="405"/>
      <c r="AQ894" s="405"/>
      <c r="AR894" s="405"/>
      <c r="AS894" s="405"/>
      <c r="AT894" s="405"/>
      <c r="AU894" s="405"/>
      <c r="AV894" s="405"/>
      <c r="AW894" s="405"/>
      <c r="AX894" s="405"/>
      <c r="AY894" s="405"/>
      <c r="AZ894" s="405"/>
      <c r="BA894" s="405"/>
      <c r="BB894" s="405"/>
      <c r="BC894" s="405"/>
      <c r="BD894" s="405"/>
      <c r="BE894" s="405"/>
      <c r="BF894" s="405"/>
      <c r="BG894" s="405"/>
      <c r="BH894" s="405"/>
      <c r="BI894" s="405"/>
      <c r="BJ894" s="405"/>
      <c r="BK894" s="405"/>
      <c r="BL894" s="405"/>
      <c r="BM894" s="405"/>
      <c r="BN894" s="405"/>
      <c r="BO894" s="405"/>
      <c r="BP894" s="405"/>
      <c r="BQ894" s="405"/>
      <c r="BR894" s="405"/>
      <c r="BS894" s="405"/>
      <c r="BT894" s="405"/>
      <c r="BU894" s="405"/>
      <c r="BV894" s="405"/>
      <c r="BW894" s="405"/>
      <c r="BX894" s="6"/>
      <c r="BY894" s="6"/>
      <c r="BZ894" s="6"/>
      <c r="CA894" s="6"/>
      <c r="CB894" s="6"/>
      <c r="CC894" s="6"/>
      <c r="CD894" s="6"/>
      <c r="CE894" s="6"/>
      <c r="CF894" s="6"/>
      <c r="CG894" s="6"/>
    </row>
    <row r="895" spans="1:85" ht="15.75" customHeight="1">
      <c r="A895" s="553"/>
      <c r="B895" s="223"/>
      <c r="C895" s="554"/>
      <c r="D895" s="223"/>
      <c r="E895" s="505"/>
      <c r="F895" s="505"/>
      <c r="G895" s="402"/>
      <c r="H895" s="505"/>
      <c r="I895" s="555"/>
      <c r="J895" s="555"/>
      <c r="K895" s="505"/>
      <c r="L895" s="404"/>
      <c r="M895" s="405"/>
      <c r="N895" s="505"/>
      <c r="O895" s="405"/>
      <c r="P895" s="405"/>
      <c r="Q895" s="405"/>
      <c r="R895" s="405"/>
      <c r="S895" s="405"/>
      <c r="T895" s="405"/>
      <c r="U895" s="505"/>
      <c r="V895" s="505"/>
      <c r="W895" s="505"/>
      <c r="X895" s="483"/>
      <c r="Y895" s="483"/>
      <c r="Z895" s="483"/>
      <c r="AA895" s="405"/>
      <c r="AB895" s="405"/>
      <c r="AC895" s="405"/>
      <c r="AD895" s="405"/>
      <c r="AE895" s="445"/>
      <c r="AF895" s="445"/>
      <c r="AG895" s="445"/>
      <c r="AH895" s="445"/>
      <c r="AI895" s="405"/>
      <c r="AJ895" s="405"/>
      <c r="AK895" s="405"/>
      <c r="AL895" s="405"/>
      <c r="AM895" s="405"/>
      <c r="AN895" s="405"/>
      <c r="AO895" s="405"/>
      <c r="AP895" s="405"/>
      <c r="AQ895" s="405"/>
      <c r="AR895" s="405"/>
      <c r="AS895" s="405"/>
      <c r="AT895" s="405"/>
      <c r="AU895" s="405"/>
      <c r="AV895" s="405"/>
      <c r="AW895" s="405"/>
      <c r="AX895" s="405"/>
      <c r="AY895" s="405"/>
      <c r="AZ895" s="405"/>
      <c r="BA895" s="405"/>
      <c r="BB895" s="405"/>
      <c r="BC895" s="405"/>
      <c r="BD895" s="405"/>
      <c r="BE895" s="405"/>
      <c r="BF895" s="405"/>
      <c r="BG895" s="405"/>
      <c r="BH895" s="405"/>
      <c r="BI895" s="405"/>
      <c r="BJ895" s="405"/>
      <c r="BK895" s="405"/>
      <c r="BL895" s="405"/>
      <c r="BM895" s="405"/>
      <c r="BN895" s="405"/>
      <c r="BO895" s="405"/>
      <c r="BP895" s="405"/>
      <c r="BQ895" s="405"/>
      <c r="BR895" s="405"/>
      <c r="BS895" s="405"/>
      <c r="BT895" s="405"/>
      <c r="BU895" s="405"/>
      <c r="BV895" s="405"/>
      <c r="BW895" s="405"/>
      <c r="BX895" s="6"/>
      <c r="BY895" s="6"/>
      <c r="BZ895" s="6"/>
      <c r="CA895" s="6"/>
      <c r="CB895" s="6"/>
      <c r="CC895" s="6"/>
      <c r="CD895" s="6"/>
      <c r="CE895" s="6"/>
      <c r="CF895" s="6"/>
      <c r="CG895" s="6"/>
    </row>
    <row r="896" spans="1:85" ht="15.75" customHeight="1">
      <c r="A896" s="553"/>
      <c r="B896" s="223"/>
      <c r="C896" s="554"/>
      <c r="D896" s="223"/>
      <c r="E896" s="505"/>
      <c r="F896" s="505"/>
      <c r="G896" s="402"/>
      <c r="H896" s="505"/>
      <c r="I896" s="555"/>
      <c r="J896" s="555"/>
      <c r="K896" s="505"/>
      <c r="L896" s="404"/>
      <c r="M896" s="405"/>
      <c r="N896" s="505"/>
      <c r="O896" s="405"/>
      <c r="P896" s="405"/>
      <c r="Q896" s="405"/>
      <c r="R896" s="405"/>
      <c r="S896" s="405"/>
      <c r="T896" s="405"/>
      <c r="U896" s="505"/>
      <c r="V896" s="505"/>
      <c r="W896" s="505"/>
      <c r="X896" s="483"/>
      <c r="Y896" s="483"/>
      <c r="Z896" s="483"/>
      <c r="AA896" s="405"/>
      <c r="AB896" s="405"/>
      <c r="AC896" s="405"/>
      <c r="AD896" s="405"/>
      <c r="AE896" s="445"/>
      <c r="AF896" s="445"/>
      <c r="AG896" s="445"/>
      <c r="AH896" s="445"/>
      <c r="AI896" s="405"/>
      <c r="AJ896" s="405"/>
      <c r="AK896" s="405"/>
      <c r="AL896" s="405"/>
      <c r="AM896" s="405"/>
      <c r="AN896" s="405"/>
      <c r="AO896" s="405"/>
      <c r="AP896" s="405"/>
      <c r="AQ896" s="405"/>
      <c r="AR896" s="405"/>
      <c r="AS896" s="405"/>
      <c r="AT896" s="405"/>
      <c r="AU896" s="405"/>
      <c r="AV896" s="405"/>
      <c r="AW896" s="405"/>
      <c r="AX896" s="405"/>
      <c r="AY896" s="405"/>
      <c r="AZ896" s="405"/>
      <c r="BA896" s="405"/>
      <c r="BB896" s="405"/>
      <c r="BC896" s="405"/>
      <c r="BD896" s="405"/>
      <c r="BE896" s="405"/>
      <c r="BF896" s="405"/>
      <c r="BG896" s="405"/>
      <c r="BH896" s="405"/>
      <c r="BI896" s="405"/>
      <c r="BJ896" s="405"/>
      <c r="BK896" s="405"/>
      <c r="BL896" s="405"/>
      <c r="BM896" s="405"/>
      <c r="BN896" s="405"/>
      <c r="BO896" s="405"/>
      <c r="BP896" s="405"/>
      <c r="BQ896" s="405"/>
      <c r="BR896" s="405"/>
      <c r="BS896" s="405"/>
      <c r="BT896" s="405"/>
      <c r="BU896" s="405"/>
      <c r="BV896" s="405"/>
      <c r="BW896" s="405"/>
      <c r="BX896" s="6"/>
      <c r="BY896" s="6"/>
      <c r="BZ896" s="6"/>
      <c r="CA896" s="6"/>
      <c r="CB896" s="6"/>
      <c r="CC896" s="6"/>
      <c r="CD896" s="6"/>
      <c r="CE896" s="6"/>
      <c r="CF896" s="6"/>
      <c r="CG896" s="6"/>
    </row>
    <row r="897" spans="1:85" ht="15.75" customHeight="1">
      <c r="A897" s="553"/>
      <c r="B897" s="223"/>
      <c r="C897" s="554"/>
      <c r="D897" s="223"/>
      <c r="E897" s="505"/>
      <c r="F897" s="505"/>
      <c r="G897" s="402"/>
      <c r="H897" s="505"/>
      <c r="I897" s="555"/>
      <c r="J897" s="555"/>
      <c r="K897" s="505"/>
      <c r="L897" s="404"/>
      <c r="M897" s="405"/>
      <c r="N897" s="505"/>
      <c r="O897" s="405"/>
      <c r="P897" s="405"/>
      <c r="Q897" s="405"/>
      <c r="R897" s="405"/>
      <c r="S897" s="405"/>
      <c r="T897" s="405"/>
      <c r="U897" s="505"/>
      <c r="V897" s="505"/>
      <c r="W897" s="505"/>
      <c r="X897" s="483"/>
      <c r="Y897" s="483"/>
      <c r="Z897" s="483"/>
      <c r="AA897" s="405"/>
      <c r="AB897" s="405"/>
      <c r="AC897" s="405"/>
      <c r="AD897" s="405"/>
      <c r="AE897" s="445"/>
      <c r="AF897" s="445"/>
      <c r="AG897" s="445"/>
      <c r="AH897" s="445"/>
      <c r="AI897" s="405"/>
      <c r="AJ897" s="405"/>
      <c r="AK897" s="405"/>
      <c r="AL897" s="405"/>
      <c r="AM897" s="405"/>
      <c r="AN897" s="405"/>
      <c r="AO897" s="405"/>
      <c r="AP897" s="405"/>
      <c r="AQ897" s="405"/>
      <c r="AR897" s="405"/>
      <c r="AS897" s="405"/>
      <c r="AT897" s="405"/>
      <c r="AU897" s="405"/>
      <c r="AV897" s="405"/>
      <c r="AW897" s="405"/>
      <c r="AX897" s="405"/>
      <c r="AY897" s="405"/>
      <c r="AZ897" s="405"/>
      <c r="BA897" s="405"/>
      <c r="BB897" s="405"/>
      <c r="BC897" s="405"/>
      <c r="BD897" s="405"/>
      <c r="BE897" s="405"/>
      <c r="BF897" s="405"/>
      <c r="BG897" s="405"/>
      <c r="BH897" s="405"/>
      <c r="BI897" s="405"/>
      <c r="BJ897" s="405"/>
      <c r="BK897" s="405"/>
      <c r="BL897" s="405"/>
      <c r="BM897" s="405"/>
      <c r="BN897" s="405"/>
      <c r="BO897" s="405"/>
      <c r="BP897" s="405"/>
      <c r="BQ897" s="405"/>
      <c r="BR897" s="405"/>
      <c r="BS897" s="405"/>
      <c r="BT897" s="405"/>
      <c r="BU897" s="405"/>
      <c r="BV897" s="405"/>
      <c r="BW897" s="405"/>
      <c r="BX897" s="6"/>
      <c r="BY897" s="6"/>
      <c r="BZ897" s="6"/>
      <c r="CA897" s="6"/>
      <c r="CB897" s="6"/>
      <c r="CC897" s="6"/>
      <c r="CD897" s="6"/>
      <c r="CE897" s="6"/>
      <c r="CF897" s="6"/>
      <c r="CG897" s="6"/>
    </row>
    <row r="898" spans="1:85" ht="15.75" customHeight="1">
      <c r="A898" s="553"/>
      <c r="B898" s="223"/>
      <c r="C898" s="554"/>
      <c r="D898" s="223"/>
      <c r="E898" s="505"/>
      <c r="F898" s="505"/>
      <c r="G898" s="402"/>
      <c r="H898" s="505"/>
      <c r="I898" s="555"/>
      <c r="J898" s="555"/>
      <c r="K898" s="505"/>
      <c r="L898" s="404"/>
      <c r="M898" s="405"/>
      <c r="N898" s="505"/>
      <c r="O898" s="405"/>
      <c r="P898" s="405"/>
      <c r="Q898" s="405"/>
      <c r="R898" s="405"/>
      <c r="S898" s="405"/>
      <c r="T898" s="405"/>
      <c r="U898" s="505"/>
      <c r="V898" s="505"/>
      <c r="W898" s="505"/>
      <c r="X898" s="483"/>
      <c r="Y898" s="483"/>
      <c r="Z898" s="483"/>
      <c r="AA898" s="405"/>
      <c r="AB898" s="405"/>
      <c r="AC898" s="405"/>
      <c r="AD898" s="405"/>
      <c r="AE898" s="445"/>
      <c r="AF898" s="445"/>
      <c r="AG898" s="445"/>
      <c r="AH898" s="445"/>
      <c r="AI898" s="405"/>
      <c r="AJ898" s="405"/>
      <c r="AK898" s="405"/>
      <c r="AL898" s="405"/>
      <c r="AM898" s="405"/>
      <c r="AN898" s="405"/>
      <c r="AO898" s="405"/>
      <c r="AP898" s="405"/>
      <c r="AQ898" s="405"/>
      <c r="AR898" s="405"/>
      <c r="AS898" s="405"/>
      <c r="AT898" s="405"/>
      <c r="AU898" s="405"/>
      <c r="AV898" s="405"/>
      <c r="AW898" s="405"/>
      <c r="AX898" s="405"/>
      <c r="AY898" s="405"/>
      <c r="AZ898" s="405"/>
      <c r="BA898" s="405"/>
      <c r="BB898" s="405"/>
      <c r="BC898" s="405"/>
      <c r="BD898" s="405"/>
      <c r="BE898" s="405"/>
      <c r="BF898" s="405"/>
      <c r="BG898" s="405"/>
      <c r="BH898" s="405"/>
      <c r="BI898" s="405"/>
      <c r="BJ898" s="405"/>
      <c r="BK898" s="405"/>
      <c r="BL898" s="405"/>
      <c r="BM898" s="405"/>
      <c r="BN898" s="405"/>
      <c r="BO898" s="405"/>
      <c r="BP898" s="405"/>
      <c r="BQ898" s="405"/>
      <c r="BR898" s="405"/>
      <c r="BS898" s="405"/>
      <c r="BT898" s="405"/>
      <c r="BU898" s="405"/>
      <c r="BV898" s="405"/>
      <c r="BW898" s="405"/>
      <c r="BX898" s="6"/>
      <c r="BY898" s="6"/>
      <c r="BZ898" s="6"/>
      <c r="CA898" s="6"/>
      <c r="CB898" s="6"/>
      <c r="CC898" s="6"/>
      <c r="CD898" s="6"/>
      <c r="CE898" s="6"/>
      <c r="CF898" s="6"/>
      <c r="CG898" s="6"/>
    </row>
    <row r="899" spans="1:85" ht="15.75" customHeight="1">
      <c r="A899" s="553"/>
      <c r="B899" s="223"/>
      <c r="C899" s="554"/>
      <c r="D899" s="223"/>
      <c r="E899" s="505"/>
      <c r="F899" s="505"/>
      <c r="G899" s="402"/>
      <c r="H899" s="505"/>
      <c r="I899" s="555"/>
      <c r="J899" s="555"/>
      <c r="K899" s="505"/>
      <c r="L899" s="404"/>
      <c r="M899" s="405"/>
      <c r="N899" s="505"/>
      <c r="O899" s="405"/>
      <c r="P899" s="405"/>
      <c r="Q899" s="405"/>
      <c r="R899" s="405"/>
      <c r="S899" s="405"/>
      <c r="T899" s="405"/>
      <c r="U899" s="505"/>
      <c r="V899" s="505"/>
      <c r="W899" s="505"/>
      <c r="X899" s="483"/>
      <c r="Y899" s="483"/>
      <c r="Z899" s="483"/>
      <c r="AA899" s="405"/>
      <c r="AB899" s="405"/>
      <c r="AC899" s="405"/>
      <c r="AD899" s="405"/>
      <c r="AE899" s="445"/>
      <c r="AF899" s="445"/>
      <c r="AG899" s="445"/>
      <c r="AH899" s="445"/>
      <c r="AI899" s="405"/>
      <c r="AJ899" s="405"/>
      <c r="AK899" s="405"/>
      <c r="AL899" s="405"/>
      <c r="AM899" s="405"/>
      <c r="AN899" s="405"/>
      <c r="AO899" s="405"/>
      <c r="AP899" s="405"/>
      <c r="AQ899" s="405"/>
      <c r="AR899" s="405"/>
      <c r="AS899" s="405"/>
      <c r="AT899" s="405"/>
      <c r="AU899" s="405"/>
      <c r="AV899" s="405"/>
      <c r="AW899" s="405"/>
      <c r="AX899" s="405"/>
      <c r="AY899" s="405"/>
      <c r="AZ899" s="405"/>
      <c r="BA899" s="405"/>
      <c r="BB899" s="405"/>
      <c r="BC899" s="405"/>
      <c r="BD899" s="405"/>
      <c r="BE899" s="405"/>
      <c r="BF899" s="405"/>
      <c r="BG899" s="405"/>
      <c r="BH899" s="405"/>
      <c r="BI899" s="405"/>
      <c r="BJ899" s="405"/>
      <c r="BK899" s="405"/>
      <c r="BL899" s="405"/>
      <c r="BM899" s="405"/>
      <c r="BN899" s="405"/>
      <c r="BO899" s="405"/>
      <c r="BP899" s="405"/>
      <c r="BQ899" s="405"/>
      <c r="BR899" s="405"/>
      <c r="BS899" s="405"/>
      <c r="BT899" s="405"/>
      <c r="BU899" s="405"/>
      <c r="BV899" s="405"/>
      <c r="BW899" s="405"/>
      <c r="BX899" s="6"/>
      <c r="BY899" s="6"/>
      <c r="BZ899" s="6"/>
      <c r="CA899" s="6"/>
      <c r="CB899" s="6"/>
      <c r="CC899" s="6"/>
      <c r="CD899" s="6"/>
      <c r="CE899" s="6"/>
      <c r="CF899" s="6"/>
      <c r="CG899" s="6"/>
    </row>
    <row r="900" spans="1:85" ht="15.75" customHeight="1">
      <c r="A900" s="553"/>
      <c r="B900" s="223"/>
      <c r="C900" s="554"/>
      <c r="D900" s="223"/>
      <c r="E900" s="505"/>
      <c r="F900" s="505"/>
      <c r="G900" s="402"/>
      <c r="H900" s="505"/>
      <c r="I900" s="555"/>
      <c r="J900" s="555"/>
      <c r="K900" s="505"/>
      <c r="L900" s="404"/>
      <c r="M900" s="405"/>
      <c r="N900" s="505"/>
      <c r="O900" s="405"/>
      <c r="P900" s="405"/>
      <c r="Q900" s="405"/>
      <c r="R900" s="405"/>
      <c r="S900" s="405"/>
      <c r="T900" s="405"/>
      <c r="U900" s="505"/>
      <c r="V900" s="505"/>
      <c r="W900" s="505"/>
      <c r="X900" s="483"/>
      <c r="Y900" s="483"/>
      <c r="Z900" s="483"/>
      <c r="AA900" s="405"/>
      <c r="AB900" s="405"/>
      <c r="AC900" s="405"/>
      <c r="AD900" s="405"/>
      <c r="AE900" s="445"/>
      <c r="AF900" s="445"/>
      <c r="AG900" s="445"/>
      <c r="AH900" s="445"/>
      <c r="AI900" s="405"/>
      <c r="AJ900" s="405"/>
      <c r="AK900" s="405"/>
      <c r="AL900" s="405"/>
      <c r="AM900" s="405"/>
      <c r="AN900" s="405"/>
      <c r="AO900" s="405"/>
      <c r="AP900" s="405"/>
      <c r="AQ900" s="405"/>
      <c r="AR900" s="405"/>
      <c r="AS900" s="405"/>
      <c r="AT900" s="405"/>
      <c r="AU900" s="405"/>
      <c r="AV900" s="405"/>
      <c r="AW900" s="405"/>
      <c r="AX900" s="405"/>
      <c r="AY900" s="405"/>
      <c r="AZ900" s="405"/>
      <c r="BA900" s="405"/>
      <c r="BB900" s="405"/>
      <c r="BC900" s="405"/>
      <c r="BD900" s="405"/>
      <c r="BE900" s="405"/>
      <c r="BF900" s="405"/>
      <c r="BG900" s="405"/>
      <c r="BH900" s="405"/>
      <c r="BI900" s="405"/>
      <c r="BJ900" s="405"/>
      <c r="BK900" s="405"/>
      <c r="BL900" s="405"/>
      <c r="BM900" s="405"/>
      <c r="BN900" s="405"/>
      <c r="BO900" s="405"/>
      <c r="BP900" s="405"/>
      <c r="BQ900" s="405"/>
      <c r="BR900" s="405"/>
      <c r="BS900" s="405"/>
      <c r="BT900" s="405"/>
      <c r="BU900" s="405"/>
      <c r="BV900" s="405"/>
      <c r="BW900" s="405"/>
      <c r="BX900" s="6"/>
      <c r="BY900" s="6"/>
      <c r="BZ900" s="6"/>
      <c r="CA900" s="6"/>
      <c r="CB900" s="6"/>
      <c r="CC900" s="6"/>
      <c r="CD900" s="6"/>
      <c r="CE900" s="6"/>
      <c r="CF900" s="6"/>
      <c r="CG900" s="6"/>
    </row>
    <row r="901" spans="1:85" ht="15.75" customHeight="1">
      <c r="A901" s="553"/>
      <c r="B901" s="223"/>
      <c r="C901" s="554"/>
      <c r="D901" s="223"/>
      <c r="E901" s="505"/>
      <c r="F901" s="505"/>
      <c r="G901" s="402"/>
      <c r="H901" s="505"/>
      <c r="I901" s="555"/>
      <c r="J901" s="555"/>
      <c r="K901" s="505"/>
      <c r="L901" s="404"/>
      <c r="M901" s="405"/>
      <c r="N901" s="505"/>
      <c r="O901" s="405"/>
      <c r="P901" s="405"/>
      <c r="Q901" s="405"/>
      <c r="R901" s="405"/>
      <c r="S901" s="405"/>
      <c r="T901" s="405"/>
      <c r="U901" s="505"/>
      <c r="V901" s="505"/>
      <c r="W901" s="505"/>
      <c r="X901" s="483"/>
      <c r="Y901" s="483"/>
      <c r="Z901" s="483"/>
      <c r="AA901" s="405"/>
      <c r="AB901" s="405"/>
      <c r="AC901" s="405"/>
      <c r="AD901" s="405"/>
      <c r="AE901" s="445"/>
      <c r="AF901" s="445"/>
      <c r="AG901" s="445"/>
      <c r="AH901" s="445"/>
      <c r="AI901" s="405"/>
      <c r="AJ901" s="405"/>
      <c r="AK901" s="405"/>
      <c r="AL901" s="405"/>
      <c r="AM901" s="405"/>
      <c r="AN901" s="405"/>
      <c r="AO901" s="405"/>
      <c r="AP901" s="405"/>
      <c r="AQ901" s="405"/>
      <c r="AR901" s="405"/>
      <c r="AS901" s="405"/>
      <c r="AT901" s="405"/>
      <c r="AU901" s="405"/>
      <c r="AV901" s="405"/>
      <c r="AW901" s="405"/>
      <c r="AX901" s="405"/>
      <c r="AY901" s="405"/>
      <c r="AZ901" s="405"/>
      <c r="BA901" s="405"/>
      <c r="BB901" s="405"/>
      <c r="BC901" s="405"/>
      <c r="BD901" s="405"/>
      <c r="BE901" s="405"/>
      <c r="BF901" s="405"/>
      <c r="BG901" s="405"/>
      <c r="BH901" s="405"/>
      <c r="BI901" s="405"/>
      <c r="BJ901" s="405"/>
      <c r="BK901" s="405"/>
      <c r="BL901" s="405"/>
      <c r="BM901" s="405"/>
      <c r="BN901" s="405"/>
      <c r="BO901" s="405"/>
      <c r="BP901" s="405"/>
      <c r="BQ901" s="405"/>
      <c r="BR901" s="405"/>
      <c r="BS901" s="405"/>
      <c r="BT901" s="405"/>
      <c r="BU901" s="405"/>
      <c r="BV901" s="405"/>
      <c r="BW901" s="405"/>
      <c r="BX901" s="6"/>
      <c r="BY901" s="6"/>
      <c r="BZ901" s="6"/>
      <c r="CA901" s="6"/>
      <c r="CB901" s="6"/>
      <c r="CC901" s="6"/>
      <c r="CD901" s="6"/>
      <c r="CE901" s="6"/>
      <c r="CF901" s="6"/>
      <c r="CG901" s="6"/>
    </row>
    <row r="902" spans="1:85" ht="15.75" customHeight="1">
      <c r="A902" s="553"/>
      <c r="B902" s="223"/>
      <c r="C902" s="554"/>
      <c r="D902" s="223"/>
      <c r="E902" s="505"/>
      <c r="F902" s="505"/>
      <c r="G902" s="402"/>
      <c r="H902" s="505"/>
      <c r="I902" s="555"/>
      <c r="J902" s="555"/>
      <c r="K902" s="505"/>
      <c r="L902" s="404"/>
      <c r="M902" s="405"/>
      <c r="N902" s="505"/>
      <c r="O902" s="405"/>
      <c r="P902" s="405"/>
      <c r="Q902" s="405"/>
      <c r="R902" s="405"/>
      <c r="S902" s="405"/>
      <c r="T902" s="405"/>
      <c r="U902" s="505"/>
      <c r="V902" s="505"/>
      <c r="W902" s="505"/>
      <c r="X902" s="483"/>
      <c r="Y902" s="483"/>
      <c r="Z902" s="483"/>
      <c r="AA902" s="405"/>
      <c r="AB902" s="405"/>
      <c r="AC902" s="405"/>
      <c r="AD902" s="405"/>
      <c r="AE902" s="445"/>
      <c r="AF902" s="445"/>
      <c r="AG902" s="445"/>
      <c r="AH902" s="445"/>
      <c r="AI902" s="405"/>
      <c r="AJ902" s="405"/>
      <c r="AK902" s="405"/>
      <c r="AL902" s="405"/>
      <c r="AM902" s="405"/>
      <c r="AN902" s="405"/>
      <c r="AO902" s="405"/>
      <c r="AP902" s="405"/>
      <c r="AQ902" s="405"/>
      <c r="AR902" s="405"/>
      <c r="AS902" s="405"/>
      <c r="AT902" s="405"/>
      <c r="AU902" s="405"/>
      <c r="AV902" s="405"/>
      <c r="AW902" s="405"/>
      <c r="AX902" s="405"/>
      <c r="AY902" s="405"/>
      <c r="AZ902" s="405"/>
      <c r="BA902" s="405"/>
      <c r="BB902" s="405"/>
      <c r="BC902" s="405"/>
      <c r="BD902" s="405"/>
      <c r="BE902" s="405"/>
      <c r="BF902" s="405"/>
      <c r="BG902" s="405"/>
      <c r="BH902" s="405"/>
      <c r="BI902" s="405"/>
      <c r="BJ902" s="405"/>
      <c r="BK902" s="405"/>
      <c r="BL902" s="405"/>
      <c r="BM902" s="405"/>
      <c r="BN902" s="405"/>
      <c r="BO902" s="405"/>
      <c r="BP902" s="405"/>
      <c r="BQ902" s="405"/>
      <c r="BR902" s="405"/>
      <c r="BS902" s="405"/>
      <c r="BT902" s="405"/>
      <c r="BU902" s="405"/>
      <c r="BV902" s="405"/>
      <c r="BW902" s="405"/>
      <c r="BX902" s="6"/>
      <c r="BY902" s="6"/>
      <c r="BZ902" s="6"/>
      <c r="CA902" s="6"/>
      <c r="CB902" s="6"/>
      <c r="CC902" s="6"/>
      <c r="CD902" s="6"/>
      <c r="CE902" s="6"/>
      <c r="CF902" s="6"/>
      <c r="CG902" s="6"/>
    </row>
    <row r="903" spans="1:85" ht="15.75" customHeight="1">
      <c r="A903" s="553"/>
      <c r="B903" s="223"/>
      <c r="C903" s="554"/>
      <c r="D903" s="223"/>
      <c r="E903" s="505"/>
      <c r="F903" s="505"/>
      <c r="G903" s="402"/>
      <c r="H903" s="505"/>
      <c r="I903" s="555"/>
      <c r="J903" s="555"/>
      <c r="K903" s="505"/>
      <c r="L903" s="404"/>
      <c r="M903" s="405"/>
      <c r="N903" s="505"/>
      <c r="O903" s="405"/>
      <c r="P903" s="405"/>
      <c r="Q903" s="405"/>
      <c r="R903" s="405"/>
      <c r="S903" s="405"/>
      <c r="T903" s="405"/>
      <c r="U903" s="505"/>
      <c r="V903" s="505"/>
      <c r="W903" s="505"/>
      <c r="X903" s="483"/>
      <c r="Y903" s="483"/>
      <c r="Z903" s="483"/>
      <c r="AA903" s="405"/>
      <c r="AB903" s="405"/>
      <c r="AC903" s="405"/>
      <c r="AD903" s="405"/>
      <c r="AE903" s="445"/>
      <c r="AF903" s="445"/>
      <c r="AG903" s="445"/>
      <c r="AH903" s="445"/>
      <c r="AI903" s="405"/>
      <c r="AJ903" s="405"/>
      <c r="AK903" s="405"/>
      <c r="AL903" s="405"/>
      <c r="AM903" s="405"/>
      <c r="AN903" s="405"/>
      <c r="AO903" s="405"/>
      <c r="AP903" s="405"/>
      <c r="AQ903" s="405"/>
      <c r="AR903" s="405"/>
      <c r="AS903" s="405"/>
      <c r="AT903" s="405"/>
      <c r="AU903" s="405"/>
      <c r="AV903" s="405"/>
      <c r="AW903" s="405"/>
      <c r="AX903" s="405"/>
      <c r="AY903" s="405"/>
      <c r="AZ903" s="405"/>
      <c r="BA903" s="405"/>
      <c r="BB903" s="405"/>
      <c r="BC903" s="405"/>
      <c r="BD903" s="405"/>
      <c r="BE903" s="405"/>
      <c r="BF903" s="405"/>
      <c r="BG903" s="405"/>
      <c r="BH903" s="405"/>
      <c r="BI903" s="405"/>
      <c r="BJ903" s="405"/>
      <c r="BK903" s="405"/>
      <c r="BL903" s="405"/>
      <c r="BM903" s="405"/>
      <c r="BN903" s="405"/>
      <c r="BO903" s="405"/>
      <c r="BP903" s="405"/>
      <c r="BQ903" s="405"/>
      <c r="BR903" s="405"/>
      <c r="BS903" s="405"/>
      <c r="BT903" s="405"/>
      <c r="BU903" s="405"/>
      <c r="BV903" s="405"/>
      <c r="BW903" s="405"/>
      <c r="BX903" s="6"/>
      <c r="BY903" s="6"/>
      <c r="BZ903" s="6"/>
      <c r="CA903" s="6"/>
      <c r="CB903" s="6"/>
      <c r="CC903" s="6"/>
      <c r="CD903" s="6"/>
      <c r="CE903" s="6"/>
      <c r="CF903" s="6"/>
      <c r="CG903" s="6"/>
    </row>
    <row r="904" spans="1:85" ht="15.75" customHeight="1">
      <c r="A904" s="553"/>
      <c r="B904" s="223"/>
      <c r="C904" s="554"/>
      <c r="D904" s="223"/>
      <c r="E904" s="505"/>
      <c r="F904" s="505"/>
      <c r="G904" s="402"/>
      <c r="H904" s="505"/>
      <c r="I904" s="555"/>
      <c r="J904" s="555"/>
      <c r="K904" s="505"/>
      <c r="L904" s="404"/>
      <c r="M904" s="405"/>
      <c r="N904" s="505"/>
      <c r="O904" s="405"/>
      <c r="P904" s="405"/>
      <c r="Q904" s="405"/>
      <c r="R904" s="405"/>
      <c r="S904" s="405"/>
      <c r="T904" s="405"/>
      <c r="U904" s="505"/>
      <c r="V904" s="505"/>
      <c r="W904" s="505"/>
      <c r="X904" s="483"/>
      <c r="Y904" s="483"/>
      <c r="Z904" s="483"/>
      <c r="AA904" s="405"/>
      <c r="AB904" s="405"/>
      <c r="AC904" s="405"/>
      <c r="AD904" s="405"/>
      <c r="AE904" s="445"/>
      <c r="AF904" s="445"/>
      <c r="AG904" s="445"/>
      <c r="AH904" s="445"/>
      <c r="AI904" s="405"/>
      <c r="AJ904" s="405"/>
      <c r="AK904" s="405"/>
      <c r="AL904" s="405"/>
      <c r="AM904" s="405"/>
      <c r="AN904" s="405"/>
      <c r="AO904" s="405"/>
      <c r="AP904" s="405"/>
      <c r="AQ904" s="405"/>
      <c r="AR904" s="405"/>
      <c r="AS904" s="405"/>
      <c r="AT904" s="405"/>
      <c r="AU904" s="405"/>
      <c r="AV904" s="405"/>
      <c r="AW904" s="405"/>
      <c r="AX904" s="405"/>
      <c r="AY904" s="405"/>
      <c r="AZ904" s="405"/>
      <c r="BA904" s="405"/>
      <c r="BB904" s="405"/>
      <c r="BC904" s="405"/>
      <c r="BD904" s="405"/>
      <c r="BE904" s="405"/>
      <c r="BF904" s="405"/>
      <c r="BG904" s="405"/>
      <c r="BH904" s="405"/>
      <c r="BI904" s="405"/>
      <c r="BJ904" s="405"/>
      <c r="BK904" s="405"/>
      <c r="BL904" s="405"/>
      <c r="BM904" s="405"/>
      <c r="BN904" s="405"/>
      <c r="BO904" s="405"/>
      <c r="BP904" s="405"/>
      <c r="BQ904" s="405"/>
      <c r="BR904" s="405"/>
      <c r="BS904" s="405"/>
      <c r="BT904" s="405"/>
      <c r="BU904" s="405"/>
      <c r="BV904" s="405"/>
      <c r="BW904" s="405"/>
      <c r="BX904" s="6"/>
      <c r="BY904" s="6"/>
      <c r="BZ904" s="6"/>
      <c r="CA904" s="6"/>
      <c r="CB904" s="6"/>
      <c r="CC904" s="6"/>
      <c r="CD904" s="6"/>
      <c r="CE904" s="6"/>
      <c r="CF904" s="6"/>
      <c r="CG904" s="6"/>
    </row>
    <row r="905" spans="1:85" ht="15.75" customHeight="1">
      <c r="A905" s="553"/>
      <c r="B905" s="223"/>
      <c r="C905" s="554"/>
      <c r="D905" s="223"/>
      <c r="E905" s="505"/>
      <c r="F905" s="505"/>
      <c r="G905" s="402"/>
      <c r="H905" s="505"/>
      <c r="I905" s="555"/>
      <c r="J905" s="555"/>
      <c r="K905" s="505"/>
      <c r="L905" s="404"/>
      <c r="M905" s="405"/>
      <c r="N905" s="505"/>
      <c r="O905" s="405"/>
      <c r="P905" s="405"/>
      <c r="Q905" s="405"/>
      <c r="R905" s="405"/>
      <c r="S905" s="405"/>
      <c r="T905" s="405"/>
      <c r="U905" s="505"/>
      <c r="V905" s="505"/>
      <c r="W905" s="505"/>
      <c r="X905" s="483"/>
      <c r="Y905" s="483"/>
      <c r="Z905" s="483"/>
      <c r="AA905" s="405"/>
      <c r="AB905" s="405"/>
      <c r="AC905" s="405"/>
      <c r="AD905" s="405"/>
      <c r="AE905" s="445"/>
      <c r="AF905" s="445"/>
      <c r="AG905" s="445"/>
      <c r="AH905" s="445"/>
      <c r="AI905" s="405"/>
      <c r="AJ905" s="405"/>
      <c r="AK905" s="405"/>
      <c r="AL905" s="405"/>
      <c r="AM905" s="405"/>
      <c r="AN905" s="405"/>
      <c r="AO905" s="405"/>
      <c r="AP905" s="405"/>
      <c r="AQ905" s="405"/>
      <c r="AR905" s="405"/>
      <c r="AS905" s="405"/>
      <c r="AT905" s="405"/>
      <c r="AU905" s="405"/>
      <c r="AV905" s="405"/>
      <c r="AW905" s="405"/>
      <c r="AX905" s="405"/>
      <c r="AY905" s="405"/>
      <c r="AZ905" s="405"/>
      <c r="BA905" s="405"/>
      <c r="BB905" s="405"/>
      <c r="BC905" s="405"/>
      <c r="BD905" s="405"/>
      <c r="BE905" s="405"/>
      <c r="BF905" s="405"/>
      <c r="BG905" s="405"/>
      <c r="BH905" s="405"/>
      <c r="BI905" s="405"/>
      <c r="BJ905" s="405"/>
      <c r="BK905" s="405"/>
      <c r="BL905" s="405"/>
      <c r="BM905" s="405"/>
      <c r="BN905" s="405"/>
      <c r="BO905" s="405"/>
      <c r="BP905" s="405"/>
      <c r="BQ905" s="405"/>
      <c r="BR905" s="405"/>
      <c r="BS905" s="405"/>
      <c r="BT905" s="405"/>
      <c r="BU905" s="405"/>
      <c r="BV905" s="405"/>
      <c r="BW905" s="405"/>
      <c r="BX905" s="6"/>
      <c r="BY905" s="6"/>
      <c r="BZ905" s="6"/>
      <c r="CA905" s="6"/>
      <c r="CB905" s="6"/>
      <c r="CC905" s="6"/>
      <c r="CD905" s="6"/>
      <c r="CE905" s="6"/>
      <c r="CF905" s="6"/>
      <c r="CG905" s="6"/>
    </row>
    <row r="906" spans="1:85" ht="15.75" customHeight="1">
      <c r="A906" s="553"/>
      <c r="B906" s="223"/>
      <c r="C906" s="554"/>
      <c r="D906" s="223"/>
      <c r="E906" s="505"/>
      <c r="F906" s="505"/>
      <c r="G906" s="402"/>
      <c r="H906" s="505"/>
      <c r="I906" s="555"/>
      <c r="J906" s="555"/>
      <c r="K906" s="505"/>
      <c r="L906" s="404"/>
      <c r="M906" s="405"/>
      <c r="N906" s="505"/>
      <c r="O906" s="405"/>
      <c r="P906" s="405"/>
      <c r="Q906" s="405"/>
      <c r="R906" s="405"/>
      <c r="S906" s="405"/>
      <c r="T906" s="405"/>
      <c r="U906" s="505"/>
      <c r="V906" s="505"/>
      <c r="W906" s="505"/>
      <c r="X906" s="483"/>
      <c r="Y906" s="483"/>
      <c r="Z906" s="483"/>
      <c r="AA906" s="405"/>
      <c r="AB906" s="405"/>
      <c r="AC906" s="405"/>
      <c r="AD906" s="405"/>
      <c r="AE906" s="445"/>
      <c r="AF906" s="445"/>
      <c r="AG906" s="445"/>
      <c r="AH906" s="445"/>
      <c r="AI906" s="405"/>
      <c r="AJ906" s="405"/>
      <c r="AK906" s="405"/>
      <c r="AL906" s="405"/>
      <c r="AM906" s="405"/>
      <c r="AN906" s="405"/>
      <c r="AO906" s="405"/>
      <c r="AP906" s="405"/>
      <c r="AQ906" s="405"/>
      <c r="AR906" s="405"/>
      <c r="AS906" s="405"/>
      <c r="AT906" s="405"/>
      <c r="AU906" s="405"/>
      <c r="AV906" s="405"/>
      <c r="AW906" s="405"/>
      <c r="AX906" s="405"/>
      <c r="AY906" s="405"/>
      <c r="AZ906" s="405"/>
      <c r="BA906" s="405"/>
      <c r="BB906" s="405"/>
      <c r="BC906" s="405"/>
      <c r="BD906" s="405"/>
      <c r="BE906" s="405"/>
      <c r="BF906" s="405"/>
      <c r="BG906" s="405"/>
      <c r="BH906" s="405"/>
      <c r="BI906" s="405"/>
      <c r="BJ906" s="405"/>
      <c r="BK906" s="405"/>
      <c r="BL906" s="405"/>
      <c r="BM906" s="405"/>
      <c r="BN906" s="405"/>
      <c r="BO906" s="405"/>
      <c r="BP906" s="405"/>
      <c r="BQ906" s="405"/>
      <c r="BR906" s="405"/>
      <c r="BS906" s="405"/>
      <c r="BT906" s="405"/>
      <c r="BU906" s="405"/>
      <c r="BV906" s="405"/>
      <c r="BW906" s="405"/>
      <c r="BX906" s="6"/>
      <c r="BY906" s="6"/>
      <c r="BZ906" s="6"/>
      <c r="CA906" s="6"/>
      <c r="CB906" s="6"/>
      <c r="CC906" s="6"/>
      <c r="CD906" s="6"/>
      <c r="CE906" s="6"/>
      <c r="CF906" s="6"/>
      <c r="CG906" s="6"/>
    </row>
    <row r="907" spans="1:85" ht="15.75" customHeight="1">
      <c r="A907" s="553"/>
      <c r="B907" s="223"/>
      <c r="C907" s="554"/>
      <c r="D907" s="223"/>
      <c r="E907" s="505"/>
      <c r="F907" s="505"/>
      <c r="G907" s="402"/>
      <c r="H907" s="505"/>
      <c r="I907" s="555"/>
      <c r="J907" s="555"/>
      <c r="K907" s="505"/>
      <c r="L907" s="404"/>
      <c r="M907" s="405"/>
      <c r="N907" s="505"/>
      <c r="O907" s="405"/>
      <c r="P907" s="405"/>
      <c r="Q907" s="405"/>
      <c r="R907" s="405"/>
      <c r="S907" s="405"/>
      <c r="T907" s="405"/>
      <c r="U907" s="505"/>
      <c r="V907" s="505"/>
      <c r="W907" s="505"/>
      <c r="X907" s="483"/>
      <c r="Y907" s="483"/>
      <c r="Z907" s="483"/>
      <c r="AA907" s="405"/>
      <c r="AB907" s="405"/>
      <c r="AC907" s="405"/>
      <c r="AD907" s="405"/>
      <c r="AE907" s="445"/>
      <c r="AF907" s="445"/>
      <c r="AG907" s="445"/>
      <c r="AH907" s="445"/>
      <c r="AI907" s="405"/>
      <c r="AJ907" s="405"/>
      <c r="AK907" s="405"/>
      <c r="AL907" s="405"/>
      <c r="AM907" s="405"/>
      <c r="AN907" s="405"/>
      <c r="AO907" s="405"/>
      <c r="AP907" s="405"/>
      <c r="AQ907" s="405"/>
      <c r="AR907" s="405"/>
      <c r="AS907" s="405"/>
      <c r="AT907" s="405"/>
      <c r="AU907" s="405"/>
      <c r="AV907" s="405"/>
      <c r="AW907" s="405"/>
      <c r="AX907" s="405"/>
      <c r="AY907" s="405"/>
      <c r="AZ907" s="405"/>
      <c r="BA907" s="405"/>
      <c r="BB907" s="405"/>
      <c r="BC907" s="405"/>
      <c r="BD907" s="405"/>
      <c r="BE907" s="405"/>
      <c r="BF907" s="405"/>
      <c r="BG907" s="405"/>
      <c r="BH907" s="405"/>
      <c r="BI907" s="405"/>
      <c r="BJ907" s="405"/>
      <c r="BK907" s="405"/>
      <c r="BL907" s="405"/>
      <c r="BM907" s="405"/>
      <c r="BN907" s="405"/>
      <c r="BO907" s="405"/>
      <c r="BP907" s="405"/>
      <c r="BQ907" s="405"/>
      <c r="BR907" s="405"/>
      <c r="BS907" s="405"/>
      <c r="BT907" s="405"/>
      <c r="BU907" s="405"/>
      <c r="BV907" s="405"/>
      <c r="BW907" s="405"/>
      <c r="BX907" s="6"/>
      <c r="BY907" s="6"/>
      <c r="BZ907" s="6"/>
      <c r="CA907" s="6"/>
      <c r="CB907" s="6"/>
      <c r="CC907" s="6"/>
      <c r="CD907" s="6"/>
      <c r="CE907" s="6"/>
      <c r="CF907" s="6"/>
      <c r="CG907" s="6"/>
    </row>
    <row r="908" spans="1:85" ht="15.75" customHeight="1">
      <c r="A908" s="553"/>
      <c r="B908" s="223"/>
      <c r="C908" s="554"/>
      <c r="D908" s="223"/>
      <c r="E908" s="505"/>
      <c r="F908" s="505"/>
      <c r="G908" s="402"/>
      <c r="H908" s="505"/>
      <c r="I908" s="555"/>
      <c r="J908" s="555"/>
      <c r="K908" s="505"/>
      <c r="L908" s="404"/>
      <c r="M908" s="405"/>
      <c r="N908" s="505"/>
      <c r="O908" s="405"/>
      <c r="P908" s="405"/>
      <c r="Q908" s="405"/>
      <c r="R908" s="405"/>
      <c r="S908" s="405"/>
      <c r="T908" s="405"/>
      <c r="U908" s="505"/>
      <c r="V908" s="505"/>
      <c r="W908" s="505"/>
      <c r="X908" s="483"/>
      <c r="Y908" s="483"/>
      <c r="Z908" s="483"/>
      <c r="AA908" s="405"/>
      <c r="AB908" s="405"/>
      <c r="AC908" s="405"/>
      <c r="AD908" s="405"/>
      <c r="AE908" s="445"/>
      <c r="AF908" s="445"/>
      <c r="AG908" s="445"/>
      <c r="AH908" s="445"/>
      <c r="AI908" s="405"/>
      <c r="AJ908" s="405"/>
      <c r="AK908" s="405"/>
      <c r="AL908" s="405"/>
      <c r="AM908" s="405"/>
      <c r="AN908" s="405"/>
      <c r="AO908" s="405"/>
      <c r="AP908" s="405"/>
      <c r="AQ908" s="405"/>
      <c r="AR908" s="405"/>
      <c r="AS908" s="405"/>
      <c r="AT908" s="405"/>
      <c r="AU908" s="405"/>
      <c r="AV908" s="405"/>
      <c r="AW908" s="405"/>
      <c r="AX908" s="405"/>
      <c r="AY908" s="405"/>
      <c r="AZ908" s="405"/>
      <c r="BA908" s="405"/>
      <c r="BB908" s="405"/>
      <c r="BC908" s="405"/>
      <c r="BD908" s="405"/>
      <c r="BE908" s="405"/>
      <c r="BF908" s="405"/>
      <c r="BG908" s="405"/>
      <c r="BH908" s="405"/>
      <c r="BI908" s="405"/>
      <c r="BJ908" s="405"/>
      <c r="BK908" s="405"/>
      <c r="BL908" s="405"/>
      <c r="BM908" s="405"/>
      <c r="BN908" s="405"/>
      <c r="BO908" s="405"/>
      <c r="BP908" s="405"/>
      <c r="BQ908" s="405"/>
      <c r="BR908" s="405"/>
      <c r="BS908" s="405"/>
      <c r="BT908" s="405"/>
      <c r="BU908" s="405"/>
      <c r="BV908" s="405"/>
      <c r="BW908" s="405"/>
      <c r="BX908" s="6"/>
      <c r="BY908" s="6"/>
      <c r="BZ908" s="6"/>
      <c r="CA908" s="6"/>
      <c r="CB908" s="6"/>
      <c r="CC908" s="6"/>
      <c r="CD908" s="6"/>
      <c r="CE908" s="6"/>
      <c r="CF908" s="6"/>
      <c r="CG908" s="6"/>
    </row>
    <row r="909" spans="1:85" ht="15.75" customHeight="1">
      <c r="A909" s="553"/>
      <c r="B909" s="223"/>
      <c r="C909" s="554"/>
      <c r="D909" s="223"/>
      <c r="E909" s="505"/>
      <c r="F909" s="505"/>
      <c r="G909" s="402"/>
      <c r="H909" s="505"/>
      <c r="I909" s="555"/>
      <c r="J909" s="555"/>
      <c r="K909" s="505"/>
      <c r="L909" s="404"/>
      <c r="M909" s="405"/>
      <c r="N909" s="505"/>
      <c r="O909" s="405"/>
      <c r="P909" s="405"/>
      <c r="Q909" s="405"/>
      <c r="R909" s="405"/>
      <c r="S909" s="405"/>
      <c r="T909" s="405"/>
      <c r="U909" s="505"/>
      <c r="V909" s="505"/>
      <c r="W909" s="505"/>
      <c r="X909" s="483"/>
      <c r="Y909" s="483"/>
      <c r="Z909" s="483"/>
      <c r="AA909" s="405"/>
      <c r="AB909" s="405"/>
      <c r="AC909" s="405"/>
      <c r="AD909" s="405"/>
      <c r="AE909" s="445"/>
      <c r="AF909" s="445"/>
      <c r="AG909" s="445"/>
      <c r="AH909" s="445"/>
      <c r="AI909" s="405"/>
      <c r="AJ909" s="405"/>
      <c r="AK909" s="405"/>
      <c r="AL909" s="405"/>
      <c r="AM909" s="405"/>
      <c r="AN909" s="405"/>
      <c r="AO909" s="405"/>
      <c r="AP909" s="405"/>
      <c r="AQ909" s="405"/>
      <c r="AR909" s="405"/>
      <c r="AS909" s="405"/>
      <c r="AT909" s="405"/>
      <c r="AU909" s="405"/>
      <c r="AV909" s="405"/>
      <c r="AW909" s="405"/>
      <c r="AX909" s="405"/>
      <c r="AY909" s="405"/>
      <c r="AZ909" s="405"/>
      <c r="BA909" s="405"/>
      <c r="BB909" s="405"/>
      <c r="BC909" s="405"/>
      <c r="BD909" s="405"/>
      <c r="BE909" s="405"/>
      <c r="BF909" s="405"/>
      <c r="BG909" s="405"/>
      <c r="BH909" s="405"/>
      <c r="BI909" s="405"/>
      <c r="BJ909" s="405"/>
      <c r="BK909" s="405"/>
      <c r="BL909" s="405"/>
      <c r="BM909" s="405"/>
      <c r="BN909" s="405"/>
      <c r="BO909" s="405"/>
      <c r="BP909" s="405"/>
      <c r="BQ909" s="405"/>
      <c r="BR909" s="405"/>
      <c r="BS909" s="405"/>
      <c r="BT909" s="405"/>
      <c r="BU909" s="405"/>
      <c r="BV909" s="405"/>
      <c r="BW909" s="405"/>
      <c r="BX909" s="6"/>
      <c r="BY909" s="6"/>
      <c r="BZ909" s="6"/>
      <c r="CA909" s="6"/>
      <c r="CB909" s="6"/>
      <c r="CC909" s="6"/>
      <c r="CD909" s="6"/>
      <c r="CE909" s="6"/>
      <c r="CF909" s="6"/>
      <c r="CG909" s="6"/>
    </row>
    <row r="910" spans="1:85" ht="15.75" customHeight="1">
      <c r="A910" s="553"/>
      <c r="B910" s="223"/>
      <c r="C910" s="554"/>
      <c r="D910" s="223"/>
      <c r="E910" s="505"/>
      <c r="F910" s="505"/>
      <c r="G910" s="402"/>
      <c r="H910" s="505"/>
      <c r="I910" s="555"/>
      <c r="J910" s="555"/>
      <c r="K910" s="505"/>
      <c r="L910" s="404"/>
      <c r="M910" s="405"/>
      <c r="N910" s="505"/>
      <c r="O910" s="405"/>
      <c r="P910" s="405"/>
      <c r="Q910" s="405"/>
      <c r="R910" s="405"/>
      <c r="S910" s="405"/>
      <c r="T910" s="405"/>
      <c r="U910" s="505"/>
      <c r="V910" s="505"/>
      <c r="W910" s="505"/>
      <c r="X910" s="483"/>
      <c r="Y910" s="483"/>
      <c r="Z910" s="483"/>
      <c r="AA910" s="405"/>
      <c r="AB910" s="405"/>
      <c r="AC910" s="405"/>
      <c r="AD910" s="405"/>
      <c r="AE910" s="445"/>
      <c r="AF910" s="445"/>
      <c r="AG910" s="445"/>
      <c r="AH910" s="445"/>
      <c r="AI910" s="405"/>
      <c r="AJ910" s="405"/>
      <c r="AK910" s="405"/>
      <c r="AL910" s="405"/>
      <c r="AM910" s="405"/>
      <c r="AN910" s="405"/>
      <c r="AO910" s="405"/>
      <c r="AP910" s="405"/>
      <c r="AQ910" s="405"/>
      <c r="AR910" s="405"/>
      <c r="AS910" s="405"/>
      <c r="AT910" s="405"/>
      <c r="AU910" s="405"/>
      <c r="AV910" s="405"/>
      <c r="AW910" s="405"/>
      <c r="AX910" s="405"/>
      <c r="AY910" s="405"/>
      <c r="AZ910" s="405"/>
      <c r="BA910" s="405"/>
      <c r="BB910" s="405"/>
      <c r="BC910" s="405"/>
      <c r="BD910" s="405"/>
      <c r="BE910" s="405"/>
      <c r="BF910" s="405"/>
      <c r="BG910" s="405"/>
      <c r="BH910" s="405"/>
      <c r="BI910" s="405"/>
      <c r="BJ910" s="405"/>
      <c r="BK910" s="405"/>
      <c r="BL910" s="405"/>
      <c r="BM910" s="405"/>
      <c r="BN910" s="405"/>
      <c r="BO910" s="405"/>
      <c r="BP910" s="405"/>
      <c r="BQ910" s="405"/>
      <c r="BR910" s="405"/>
      <c r="BS910" s="405"/>
      <c r="BT910" s="405"/>
      <c r="BU910" s="405"/>
      <c r="BV910" s="405"/>
      <c r="BW910" s="405"/>
      <c r="BX910" s="6"/>
      <c r="BY910" s="6"/>
      <c r="BZ910" s="6"/>
      <c r="CA910" s="6"/>
      <c r="CB910" s="6"/>
      <c r="CC910" s="6"/>
      <c r="CD910" s="6"/>
      <c r="CE910" s="6"/>
      <c r="CF910" s="6"/>
      <c r="CG910" s="6"/>
    </row>
    <row r="911" spans="1:85" ht="15.75" customHeight="1">
      <c r="A911" s="553"/>
      <c r="B911" s="223"/>
      <c r="C911" s="554"/>
      <c r="D911" s="223"/>
      <c r="E911" s="505"/>
      <c r="F911" s="505"/>
      <c r="G911" s="402"/>
      <c r="H911" s="505"/>
      <c r="I911" s="555"/>
      <c r="J911" s="555"/>
      <c r="K911" s="505"/>
      <c r="L911" s="404"/>
      <c r="M911" s="405"/>
      <c r="N911" s="505"/>
      <c r="O911" s="405"/>
      <c r="P911" s="405"/>
      <c r="Q911" s="405"/>
      <c r="R911" s="405"/>
      <c r="S911" s="405"/>
      <c r="T911" s="405"/>
      <c r="U911" s="505"/>
      <c r="V911" s="505"/>
      <c r="W911" s="505"/>
      <c r="X911" s="483"/>
      <c r="Y911" s="483"/>
      <c r="Z911" s="483"/>
      <c r="AA911" s="405"/>
      <c r="AB911" s="405"/>
      <c r="AC911" s="405"/>
      <c r="AD911" s="405"/>
      <c r="AE911" s="445"/>
      <c r="AF911" s="445"/>
      <c r="AG911" s="445"/>
      <c r="AH911" s="445"/>
      <c r="AI911" s="405"/>
      <c r="AJ911" s="405"/>
      <c r="AK911" s="405"/>
      <c r="AL911" s="405"/>
      <c r="AM911" s="405"/>
      <c r="AN911" s="405"/>
      <c r="AO911" s="405"/>
      <c r="AP911" s="405"/>
      <c r="AQ911" s="405"/>
      <c r="AR911" s="405"/>
      <c r="AS911" s="405"/>
      <c r="AT911" s="405"/>
      <c r="AU911" s="405"/>
      <c r="AV911" s="405"/>
      <c r="AW911" s="405"/>
      <c r="AX911" s="405"/>
      <c r="AY911" s="405"/>
      <c r="AZ911" s="405"/>
      <c r="BA911" s="405"/>
      <c r="BB911" s="405"/>
      <c r="BC911" s="405"/>
      <c r="BD911" s="405"/>
      <c r="BE911" s="405"/>
      <c r="BF911" s="405"/>
      <c r="BG911" s="405"/>
      <c r="BH911" s="405"/>
      <c r="BI911" s="405"/>
      <c r="BJ911" s="405"/>
      <c r="BK911" s="405"/>
      <c r="BL911" s="405"/>
      <c r="BM911" s="405"/>
      <c r="BN911" s="405"/>
      <c r="BO911" s="405"/>
      <c r="BP911" s="405"/>
      <c r="BQ911" s="405"/>
      <c r="BR911" s="405"/>
      <c r="BS911" s="405"/>
      <c r="BT911" s="405"/>
      <c r="BU911" s="405"/>
      <c r="BV911" s="405"/>
      <c r="BW911" s="405"/>
      <c r="BX911" s="6"/>
      <c r="BY911" s="6"/>
      <c r="BZ911" s="6"/>
      <c r="CA911" s="6"/>
      <c r="CB911" s="6"/>
      <c r="CC911" s="6"/>
      <c r="CD911" s="6"/>
      <c r="CE911" s="6"/>
      <c r="CF911" s="6"/>
      <c r="CG911" s="6"/>
    </row>
    <row r="912" spans="1:85" ht="15.75" customHeight="1">
      <c r="A912" s="553"/>
      <c r="B912" s="223"/>
      <c r="C912" s="554"/>
      <c r="D912" s="223"/>
      <c r="E912" s="505"/>
      <c r="F912" s="505"/>
      <c r="G912" s="402"/>
      <c r="H912" s="505"/>
      <c r="I912" s="555"/>
      <c r="J912" s="555"/>
      <c r="K912" s="505"/>
      <c r="L912" s="404"/>
      <c r="M912" s="405"/>
      <c r="N912" s="505"/>
      <c r="O912" s="405"/>
      <c r="P912" s="405"/>
      <c r="Q912" s="405"/>
      <c r="R912" s="405"/>
      <c r="S912" s="405"/>
      <c r="T912" s="405"/>
      <c r="U912" s="505"/>
      <c r="V912" s="505"/>
      <c r="W912" s="505"/>
      <c r="X912" s="483"/>
      <c r="Y912" s="483"/>
      <c r="Z912" s="483"/>
      <c r="AA912" s="405"/>
      <c r="AB912" s="405"/>
      <c r="AC912" s="405"/>
      <c r="AD912" s="405"/>
      <c r="AE912" s="445"/>
      <c r="AF912" s="445"/>
      <c r="AG912" s="445"/>
      <c r="AH912" s="445"/>
      <c r="AI912" s="405"/>
      <c r="AJ912" s="405"/>
      <c r="AK912" s="405"/>
      <c r="AL912" s="405"/>
      <c r="AM912" s="405"/>
      <c r="AN912" s="405"/>
      <c r="AO912" s="405"/>
      <c r="AP912" s="405"/>
      <c r="AQ912" s="405"/>
      <c r="AR912" s="405"/>
      <c r="AS912" s="405"/>
      <c r="AT912" s="405"/>
      <c r="AU912" s="405"/>
      <c r="AV912" s="405"/>
      <c r="AW912" s="405"/>
      <c r="AX912" s="405"/>
      <c r="AY912" s="405"/>
      <c r="AZ912" s="405"/>
      <c r="BA912" s="405"/>
      <c r="BB912" s="405"/>
      <c r="BC912" s="405"/>
      <c r="BD912" s="405"/>
      <c r="BE912" s="405"/>
      <c r="BF912" s="405"/>
      <c r="BG912" s="405"/>
      <c r="BH912" s="405"/>
      <c r="BI912" s="405"/>
      <c r="BJ912" s="405"/>
      <c r="BK912" s="405"/>
      <c r="BL912" s="405"/>
      <c r="BM912" s="405"/>
      <c r="BN912" s="405"/>
      <c r="BO912" s="405"/>
      <c r="BP912" s="405"/>
      <c r="BQ912" s="405"/>
      <c r="BR912" s="405"/>
      <c r="BS912" s="405"/>
      <c r="BT912" s="405"/>
      <c r="BU912" s="405"/>
      <c r="BV912" s="405"/>
      <c r="BW912" s="405"/>
      <c r="BX912" s="6"/>
      <c r="BY912" s="6"/>
      <c r="BZ912" s="6"/>
      <c r="CA912" s="6"/>
      <c r="CB912" s="6"/>
      <c r="CC912" s="6"/>
      <c r="CD912" s="6"/>
      <c r="CE912" s="6"/>
      <c r="CF912" s="6"/>
      <c r="CG912" s="6"/>
    </row>
    <row r="913" spans="1:85" ht="15.75" customHeight="1">
      <c r="A913" s="553"/>
      <c r="B913" s="223"/>
      <c r="C913" s="554"/>
      <c r="D913" s="223"/>
      <c r="E913" s="505"/>
      <c r="F913" s="505"/>
      <c r="G913" s="402"/>
      <c r="H913" s="505"/>
      <c r="I913" s="555"/>
      <c r="J913" s="555"/>
      <c r="K913" s="505"/>
      <c r="L913" s="404"/>
      <c r="M913" s="405"/>
      <c r="N913" s="505"/>
      <c r="O913" s="405"/>
      <c r="P913" s="405"/>
      <c r="Q913" s="405"/>
      <c r="R913" s="405"/>
      <c r="S913" s="405"/>
      <c r="T913" s="405"/>
      <c r="U913" s="505"/>
      <c r="V913" s="505"/>
      <c r="W913" s="505"/>
      <c r="X913" s="483"/>
      <c r="Y913" s="483"/>
      <c r="Z913" s="483"/>
      <c r="AA913" s="405"/>
      <c r="AB913" s="405"/>
      <c r="AC913" s="405"/>
      <c r="AD913" s="405"/>
      <c r="AE913" s="445"/>
      <c r="AF913" s="445"/>
      <c r="AG913" s="445"/>
      <c r="AH913" s="445"/>
      <c r="AI913" s="405"/>
      <c r="AJ913" s="405"/>
      <c r="AK913" s="405"/>
      <c r="AL913" s="405"/>
      <c r="AM913" s="405"/>
      <c r="AN913" s="405"/>
      <c r="AO913" s="405"/>
      <c r="AP913" s="405"/>
      <c r="AQ913" s="405"/>
      <c r="AR913" s="405"/>
      <c r="AS913" s="405"/>
      <c r="AT913" s="405"/>
      <c r="AU913" s="405"/>
      <c r="AV913" s="405"/>
      <c r="AW913" s="405"/>
      <c r="AX913" s="405"/>
      <c r="AY913" s="405"/>
      <c r="AZ913" s="405"/>
      <c r="BA913" s="405"/>
      <c r="BB913" s="405"/>
      <c r="BC913" s="405"/>
      <c r="BD913" s="405"/>
      <c r="BE913" s="405"/>
      <c r="BF913" s="405"/>
      <c r="BG913" s="405"/>
      <c r="BH913" s="405"/>
      <c r="BI913" s="405"/>
      <c r="BJ913" s="405"/>
      <c r="BK913" s="405"/>
      <c r="BL913" s="405"/>
      <c r="BM913" s="405"/>
      <c r="BN913" s="405"/>
      <c r="BO913" s="405"/>
      <c r="BP913" s="405"/>
      <c r="BQ913" s="405"/>
      <c r="BR913" s="405"/>
      <c r="BS913" s="405"/>
      <c r="BT913" s="405"/>
      <c r="BU913" s="405"/>
      <c r="BV913" s="405"/>
      <c r="BW913" s="405"/>
      <c r="BX913" s="6"/>
      <c r="BY913" s="6"/>
      <c r="BZ913" s="6"/>
      <c r="CA913" s="6"/>
      <c r="CB913" s="6"/>
      <c r="CC913" s="6"/>
      <c r="CD913" s="6"/>
      <c r="CE913" s="6"/>
      <c r="CF913" s="6"/>
      <c r="CG913" s="6"/>
    </row>
    <row r="914" spans="1:85" ht="15.75" customHeight="1">
      <c r="A914" s="553"/>
      <c r="B914" s="223"/>
      <c r="C914" s="554"/>
      <c r="D914" s="223"/>
      <c r="E914" s="505"/>
      <c r="F914" s="505"/>
      <c r="G914" s="402"/>
      <c r="H914" s="505"/>
      <c r="I914" s="555"/>
      <c r="J914" s="555"/>
      <c r="K914" s="505"/>
      <c r="L914" s="404"/>
      <c r="M914" s="405"/>
      <c r="N914" s="505"/>
      <c r="O914" s="405"/>
      <c r="P914" s="405"/>
      <c r="Q914" s="405"/>
      <c r="R914" s="405"/>
      <c r="S914" s="405"/>
      <c r="T914" s="405"/>
      <c r="U914" s="505"/>
      <c r="V914" s="505"/>
      <c r="W914" s="505"/>
      <c r="X914" s="483"/>
      <c r="Y914" s="483"/>
      <c r="Z914" s="483"/>
      <c r="AA914" s="405"/>
      <c r="AB914" s="405"/>
      <c r="AC914" s="405"/>
      <c r="AD914" s="405"/>
      <c r="AE914" s="445"/>
      <c r="AF914" s="445"/>
      <c r="AG914" s="445"/>
      <c r="AH914" s="445"/>
      <c r="AI914" s="405"/>
      <c r="AJ914" s="405"/>
      <c r="AK914" s="405"/>
      <c r="AL914" s="405"/>
      <c r="AM914" s="405"/>
      <c r="AN914" s="405"/>
      <c r="AO914" s="405"/>
      <c r="AP914" s="405"/>
      <c r="AQ914" s="405"/>
      <c r="AR914" s="405"/>
      <c r="AS914" s="405"/>
      <c r="AT914" s="405"/>
      <c r="AU914" s="405"/>
      <c r="AV914" s="405"/>
      <c r="AW914" s="405"/>
      <c r="AX914" s="405"/>
      <c r="AY914" s="405"/>
      <c r="AZ914" s="405"/>
      <c r="BA914" s="405"/>
      <c r="BB914" s="405"/>
      <c r="BC914" s="405"/>
      <c r="BD914" s="405"/>
      <c r="BE914" s="405"/>
      <c r="BF914" s="405"/>
      <c r="BG914" s="405"/>
      <c r="BH914" s="405"/>
      <c r="BI914" s="405"/>
      <c r="BJ914" s="405"/>
      <c r="BK914" s="405"/>
      <c r="BL914" s="405"/>
      <c r="BM914" s="405"/>
      <c r="BN914" s="405"/>
      <c r="BO914" s="405"/>
      <c r="BP914" s="405"/>
      <c r="BQ914" s="405"/>
      <c r="BR914" s="405"/>
      <c r="BS914" s="405"/>
      <c r="BT914" s="405"/>
      <c r="BU914" s="405"/>
      <c r="BV914" s="405"/>
      <c r="BW914" s="405"/>
      <c r="BX914" s="6"/>
      <c r="BY914" s="6"/>
      <c r="BZ914" s="6"/>
      <c r="CA914" s="6"/>
      <c r="CB914" s="6"/>
      <c r="CC914" s="6"/>
      <c r="CD914" s="6"/>
      <c r="CE914" s="6"/>
      <c r="CF914" s="6"/>
      <c r="CG914" s="6"/>
    </row>
    <row r="915" spans="1:85" ht="15.75" customHeight="1">
      <c r="A915" s="553"/>
      <c r="B915" s="223"/>
      <c r="C915" s="554"/>
      <c r="D915" s="223"/>
      <c r="E915" s="505"/>
      <c r="F915" s="505"/>
      <c r="G915" s="402"/>
      <c r="H915" s="505"/>
      <c r="I915" s="555"/>
      <c r="J915" s="555"/>
      <c r="K915" s="505"/>
      <c r="L915" s="404"/>
      <c r="M915" s="405"/>
      <c r="N915" s="505"/>
      <c r="O915" s="405"/>
      <c r="P915" s="405"/>
      <c r="Q915" s="405"/>
      <c r="R915" s="405"/>
      <c r="S915" s="405"/>
      <c r="T915" s="405"/>
      <c r="U915" s="505"/>
      <c r="V915" s="505"/>
      <c r="W915" s="505"/>
      <c r="X915" s="483"/>
      <c r="Y915" s="483"/>
      <c r="Z915" s="483"/>
      <c r="AA915" s="405"/>
      <c r="AB915" s="405"/>
      <c r="AC915" s="405"/>
      <c r="AD915" s="405"/>
      <c r="AE915" s="445"/>
      <c r="AF915" s="445"/>
      <c r="AG915" s="445"/>
      <c r="AH915" s="445"/>
      <c r="AI915" s="405"/>
      <c r="AJ915" s="405"/>
      <c r="AK915" s="405"/>
      <c r="AL915" s="405"/>
      <c r="AM915" s="405"/>
      <c r="AN915" s="405"/>
      <c r="AO915" s="405"/>
      <c r="AP915" s="405"/>
      <c r="AQ915" s="405"/>
      <c r="AR915" s="405"/>
      <c r="AS915" s="405"/>
      <c r="AT915" s="405"/>
      <c r="AU915" s="405"/>
      <c r="AV915" s="405"/>
      <c r="AW915" s="405"/>
      <c r="AX915" s="405"/>
      <c r="AY915" s="405"/>
      <c r="AZ915" s="405"/>
      <c r="BA915" s="405"/>
      <c r="BB915" s="405"/>
      <c r="BC915" s="405"/>
      <c r="BD915" s="405"/>
      <c r="BE915" s="405"/>
      <c r="BF915" s="405"/>
      <c r="BG915" s="405"/>
      <c r="BH915" s="405"/>
      <c r="BI915" s="405"/>
      <c r="BJ915" s="405"/>
      <c r="BK915" s="405"/>
      <c r="BL915" s="405"/>
      <c r="BM915" s="405"/>
      <c r="BN915" s="405"/>
      <c r="BO915" s="405"/>
      <c r="BP915" s="405"/>
      <c r="BQ915" s="405"/>
      <c r="BR915" s="405"/>
      <c r="BS915" s="405"/>
      <c r="BT915" s="405"/>
      <c r="BU915" s="405"/>
      <c r="BV915" s="405"/>
      <c r="BW915" s="405"/>
      <c r="BX915" s="6"/>
      <c r="BY915" s="6"/>
      <c r="BZ915" s="6"/>
      <c r="CA915" s="6"/>
      <c r="CB915" s="6"/>
      <c r="CC915" s="6"/>
      <c r="CD915" s="6"/>
      <c r="CE915" s="6"/>
      <c r="CF915" s="6"/>
      <c r="CG915" s="6"/>
    </row>
    <row r="916" spans="1:85" ht="15.75" customHeight="1">
      <c r="A916" s="553"/>
      <c r="B916" s="223"/>
      <c r="C916" s="554"/>
      <c r="D916" s="223"/>
      <c r="E916" s="505"/>
      <c r="F916" s="505"/>
      <c r="G916" s="402"/>
      <c r="H916" s="505"/>
      <c r="I916" s="555"/>
      <c r="J916" s="555"/>
      <c r="K916" s="505"/>
      <c r="L916" s="404"/>
      <c r="M916" s="405"/>
      <c r="N916" s="505"/>
      <c r="O916" s="405"/>
      <c r="P916" s="405"/>
      <c r="Q916" s="405"/>
      <c r="R916" s="405"/>
      <c r="S916" s="405"/>
      <c r="T916" s="405"/>
      <c r="U916" s="505"/>
      <c r="V916" s="505"/>
      <c r="W916" s="505"/>
      <c r="X916" s="483"/>
      <c r="Y916" s="483"/>
      <c r="Z916" s="483"/>
      <c r="AA916" s="405"/>
      <c r="AB916" s="405"/>
      <c r="AC916" s="405"/>
      <c r="AD916" s="405"/>
      <c r="AE916" s="445"/>
      <c r="AF916" s="445"/>
      <c r="AG916" s="445"/>
      <c r="AH916" s="445"/>
      <c r="AI916" s="405"/>
      <c r="AJ916" s="405"/>
      <c r="AK916" s="405"/>
      <c r="AL916" s="405"/>
      <c r="AM916" s="405"/>
      <c r="AN916" s="405"/>
      <c r="AO916" s="405"/>
      <c r="AP916" s="405"/>
      <c r="AQ916" s="405"/>
      <c r="AR916" s="405"/>
      <c r="AS916" s="405"/>
      <c r="AT916" s="405"/>
      <c r="AU916" s="405"/>
      <c r="AV916" s="405"/>
      <c r="AW916" s="405"/>
      <c r="AX916" s="405"/>
      <c r="AY916" s="405"/>
      <c r="AZ916" s="405"/>
      <c r="BA916" s="405"/>
      <c r="BB916" s="405"/>
      <c r="BC916" s="405"/>
      <c r="BD916" s="405"/>
      <c r="BE916" s="405"/>
      <c r="BF916" s="405"/>
      <c r="BG916" s="405"/>
      <c r="BH916" s="405"/>
      <c r="BI916" s="405"/>
      <c r="BJ916" s="405"/>
      <c r="BK916" s="405"/>
      <c r="BL916" s="405"/>
      <c r="BM916" s="405"/>
      <c r="BN916" s="405"/>
      <c r="BO916" s="405"/>
      <c r="BP916" s="405"/>
      <c r="BQ916" s="405"/>
      <c r="BR916" s="405"/>
      <c r="BS916" s="405"/>
      <c r="BT916" s="405"/>
      <c r="BU916" s="405"/>
      <c r="BV916" s="405"/>
      <c r="BW916" s="405"/>
      <c r="BX916" s="6"/>
      <c r="BY916" s="6"/>
      <c r="BZ916" s="6"/>
      <c r="CA916" s="6"/>
      <c r="CB916" s="6"/>
      <c r="CC916" s="6"/>
      <c r="CD916" s="6"/>
      <c r="CE916" s="6"/>
      <c r="CF916" s="6"/>
      <c r="CG916" s="6"/>
    </row>
    <row r="917" spans="1:85" ht="15.75" customHeight="1">
      <c r="A917" s="553"/>
      <c r="B917" s="223"/>
      <c r="C917" s="554"/>
      <c r="D917" s="223"/>
      <c r="E917" s="505"/>
      <c r="F917" s="505"/>
      <c r="G917" s="402"/>
      <c r="H917" s="505"/>
      <c r="I917" s="555"/>
      <c r="J917" s="555"/>
      <c r="K917" s="505"/>
      <c r="L917" s="404"/>
      <c r="M917" s="405"/>
      <c r="N917" s="505"/>
      <c r="O917" s="405"/>
      <c r="P917" s="405"/>
      <c r="Q917" s="405"/>
      <c r="R917" s="405"/>
      <c r="S917" s="405"/>
      <c r="T917" s="405"/>
      <c r="U917" s="505"/>
      <c r="V917" s="505"/>
      <c r="W917" s="505"/>
      <c r="X917" s="483"/>
      <c r="Y917" s="483"/>
      <c r="Z917" s="483"/>
      <c r="AA917" s="405"/>
      <c r="AB917" s="405"/>
      <c r="AC917" s="405"/>
      <c r="AD917" s="405"/>
      <c r="AE917" s="445"/>
      <c r="AF917" s="445"/>
      <c r="AG917" s="445"/>
      <c r="AH917" s="445"/>
      <c r="AI917" s="405"/>
      <c r="AJ917" s="405"/>
      <c r="AK917" s="405"/>
      <c r="AL917" s="405"/>
      <c r="AM917" s="405"/>
      <c r="AN917" s="405"/>
      <c r="AO917" s="405"/>
      <c r="AP917" s="405"/>
      <c r="AQ917" s="405"/>
      <c r="AR917" s="405"/>
      <c r="AS917" s="405"/>
      <c r="AT917" s="405"/>
      <c r="AU917" s="405"/>
      <c r="AV917" s="405"/>
      <c r="AW917" s="405"/>
      <c r="AX917" s="405"/>
      <c r="AY917" s="405"/>
      <c r="AZ917" s="405"/>
      <c r="BA917" s="405"/>
      <c r="BB917" s="405"/>
      <c r="BC917" s="405"/>
      <c r="BD917" s="405"/>
      <c r="BE917" s="405"/>
      <c r="BF917" s="405"/>
      <c r="BG917" s="405"/>
      <c r="BH917" s="405"/>
      <c r="BI917" s="405"/>
      <c r="BJ917" s="405"/>
      <c r="BK917" s="405"/>
      <c r="BL917" s="405"/>
      <c r="BM917" s="405"/>
      <c r="BN917" s="405"/>
      <c r="BO917" s="405"/>
      <c r="BP917" s="405"/>
      <c r="BQ917" s="405"/>
      <c r="BR917" s="405"/>
      <c r="BS917" s="405"/>
      <c r="BT917" s="405"/>
      <c r="BU917" s="405"/>
      <c r="BV917" s="405"/>
      <c r="BW917" s="405"/>
      <c r="BX917" s="6"/>
      <c r="BY917" s="6"/>
      <c r="BZ917" s="6"/>
      <c r="CA917" s="6"/>
      <c r="CB917" s="6"/>
      <c r="CC917" s="6"/>
      <c r="CD917" s="6"/>
      <c r="CE917" s="6"/>
      <c r="CF917" s="6"/>
      <c r="CG917" s="6"/>
    </row>
    <row r="918" spans="1:85" ht="15.75" customHeight="1">
      <c r="A918" s="553"/>
      <c r="B918" s="223"/>
      <c r="C918" s="554"/>
      <c r="D918" s="223"/>
      <c r="E918" s="505"/>
      <c r="F918" s="505"/>
      <c r="G918" s="402"/>
      <c r="H918" s="505"/>
      <c r="I918" s="555"/>
      <c r="J918" s="555"/>
      <c r="K918" s="505"/>
      <c r="L918" s="404"/>
      <c r="M918" s="405"/>
      <c r="N918" s="505"/>
      <c r="O918" s="405"/>
      <c r="P918" s="405"/>
      <c r="Q918" s="405"/>
      <c r="R918" s="405"/>
      <c r="S918" s="405"/>
      <c r="T918" s="405"/>
      <c r="U918" s="505"/>
      <c r="V918" s="505"/>
      <c r="W918" s="505"/>
      <c r="X918" s="483"/>
      <c r="Y918" s="483"/>
      <c r="Z918" s="483"/>
      <c r="AA918" s="405"/>
      <c r="AB918" s="405"/>
      <c r="AC918" s="405"/>
      <c r="AD918" s="405"/>
      <c r="AE918" s="445"/>
      <c r="AF918" s="445"/>
      <c r="AG918" s="445"/>
      <c r="AH918" s="445"/>
      <c r="AI918" s="405"/>
      <c r="AJ918" s="405"/>
      <c r="AK918" s="405"/>
      <c r="AL918" s="405"/>
      <c r="AM918" s="405"/>
      <c r="AN918" s="405"/>
      <c r="AO918" s="405"/>
      <c r="AP918" s="405"/>
      <c r="AQ918" s="405"/>
      <c r="AR918" s="405"/>
      <c r="AS918" s="405"/>
      <c r="AT918" s="405"/>
      <c r="AU918" s="405"/>
      <c r="AV918" s="405"/>
      <c r="AW918" s="405"/>
      <c r="AX918" s="405"/>
      <c r="AY918" s="405"/>
      <c r="AZ918" s="405"/>
      <c r="BA918" s="405"/>
      <c r="BB918" s="405"/>
      <c r="BC918" s="405"/>
      <c r="BD918" s="405"/>
      <c r="BE918" s="405"/>
      <c r="BF918" s="405"/>
      <c r="BG918" s="405"/>
      <c r="BH918" s="405"/>
      <c r="BI918" s="405"/>
      <c r="BJ918" s="405"/>
      <c r="BK918" s="405"/>
      <c r="BL918" s="405"/>
      <c r="BM918" s="405"/>
      <c r="BN918" s="405"/>
      <c r="BO918" s="405"/>
      <c r="BP918" s="405"/>
      <c r="BQ918" s="405"/>
      <c r="BR918" s="405"/>
      <c r="BS918" s="405"/>
      <c r="BT918" s="405"/>
      <c r="BU918" s="405"/>
      <c r="BV918" s="405"/>
      <c r="BW918" s="405"/>
      <c r="BX918" s="6"/>
      <c r="BY918" s="6"/>
      <c r="BZ918" s="6"/>
      <c r="CA918" s="6"/>
      <c r="CB918" s="6"/>
      <c r="CC918" s="6"/>
      <c r="CD918" s="6"/>
      <c r="CE918" s="6"/>
      <c r="CF918" s="6"/>
      <c r="CG918" s="6"/>
    </row>
    <row r="919" spans="1:85" ht="15.75" customHeight="1">
      <c r="A919" s="553"/>
      <c r="B919" s="223"/>
      <c r="C919" s="554"/>
      <c r="D919" s="223"/>
      <c r="E919" s="505"/>
      <c r="F919" s="505"/>
      <c r="G919" s="402"/>
      <c r="H919" s="505"/>
      <c r="I919" s="555"/>
      <c r="J919" s="555"/>
      <c r="K919" s="505"/>
      <c r="L919" s="404"/>
      <c r="M919" s="405"/>
      <c r="N919" s="505"/>
      <c r="O919" s="405"/>
      <c r="P919" s="405"/>
      <c r="Q919" s="405"/>
      <c r="R919" s="405"/>
      <c r="S919" s="405"/>
      <c r="T919" s="405"/>
      <c r="U919" s="505"/>
      <c r="V919" s="505"/>
      <c r="W919" s="505"/>
      <c r="X919" s="483"/>
      <c r="Y919" s="483"/>
      <c r="Z919" s="483"/>
      <c r="AA919" s="405"/>
      <c r="AB919" s="405"/>
      <c r="AC919" s="405"/>
      <c r="AD919" s="405"/>
      <c r="AE919" s="445"/>
      <c r="AF919" s="445"/>
      <c r="AG919" s="445"/>
      <c r="AH919" s="445"/>
      <c r="AI919" s="405"/>
      <c r="AJ919" s="405"/>
      <c r="AK919" s="405"/>
      <c r="AL919" s="405"/>
      <c r="AM919" s="405"/>
      <c r="AN919" s="405"/>
      <c r="AO919" s="405"/>
      <c r="AP919" s="405"/>
      <c r="AQ919" s="405"/>
      <c r="AR919" s="405"/>
      <c r="AS919" s="405"/>
      <c r="AT919" s="405"/>
      <c r="AU919" s="405"/>
      <c r="AV919" s="405"/>
      <c r="AW919" s="405"/>
      <c r="AX919" s="405"/>
      <c r="AY919" s="405"/>
      <c r="AZ919" s="405"/>
      <c r="BA919" s="405"/>
      <c r="BB919" s="405"/>
      <c r="BC919" s="405"/>
      <c r="BD919" s="405"/>
      <c r="BE919" s="405"/>
      <c r="BF919" s="405"/>
      <c r="BG919" s="405"/>
      <c r="BH919" s="405"/>
      <c r="BI919" s="405"/>
      <c r="BJ919" s="405"/>
      <c r="BK919" s="405"/>
      <c r="BL919" s="405"/>
      <c r="BM919" s="405"/>
      <c r="BN919" s="405"/>
      <c r="BO919" s="405"/>
      <c r="BP919" s="405"/>
      <c r="BQ919" s="405"/>
      <c r="BR919" s="405"/>
      <c r="BS919" s="405"/>
      <c r="BT919" s="405"/>
      <c r="BU919" s="405"/>
      <c r="BV919" s="405"/>
      <c r="BW919" s="405"/>
      <c r="BX919" s="6"/>
      <c r="BY919" s="6"/>
      <c r="BZ919" s="6"/>
      <c r="CA919" s="6"/>
      <c r="CB919" s="6"/>
      <c r="CC919" s="6"/>
      <c r="CD919" s="6"/>
      <c r="CE919" s="6"/>
      <c r="CF919" s="6"/>
      <c r="CG919" s="6"/>
    </row>
    <row r="920" spans="1:85" ht="15.75" customHeight="1">
      <c r="A920" s="553"/>
      <c r="B920" s="223"/>
      <c r="C920" s="554"/>
      <c r="D920" s="223"/>
      <c r="E920" s="505"/>
      <c r="F920" s="505"/>
      <c r="G920" s="402"/>
      <c r="H920" s="505"/>
      <c r="I920" s="555"/>
      <c r="J920" s="555"/>
      <c r="K920" s="505"/>
      <c r="L920" s="404"/>
      <c r="M920" s="405"/>
      <c r="N920" s="505"/>
      <c r="O920" s="405"/>
      <c r="P920" s="405"/>
      <c r="Q920" s="405"/>
      <c r="R920" s="405"/>
      <c r="S920" s="405"/>
      <c r="T920" s="405"/>
      <c r="U920" s="505"/>
      <c r="V920" s="505"/>
      <c r="W920" s="505"/>
      <c r="X920" s="483"/>
      <c r="Y920" s="483"/>
      <c r="Z920" s="483"/>
      <c r="AA920" s="405"/>
      <c r="AB920" s="405"/>
      <c r="AC920" s="405"/>
      <c r="AD920" s="405"/>
      <c r="AE920" s="445"/>
      <c r="AF920" s="445"/>
      <c r="AG920" s="445"/>
      <c r="AH920" s="445"/>
      <c r="AI920" s="405"/>
      <c r="AJ920" s="405"/>
      <c r="AK920" s="405"/>
      <c r="AL920" s="405"/>
      <c r="AM920" s="405"/>
      <c r="AN920" s="405"/>
      <c r="AO920" s="405"/>
      <c r="AP920" s="405"/>
      <c r="AQ920" s="405"/>
      <c r="AR920" s="405"/>
      <c r="AS920" s="405"/>
      <c r="AT920" s="405"/>
      <c r="AU920" s="405"/>
      <c r="AV920" s="405"/>
      <c r="AW920" s="405"/>
      <c r="AX920" s="405"/>
      <c r="AY920" s="405"/>
      <c r="AZ920" s="405"/>
      <c r="BA920" s="405"/>
      <c r="BB920" s="405"/>
      <c r="BC920" s="405"/>
      <c r="BD920" s="405"/>
      <c r="BE920" s="405"/>
      <c r="BF920" s="405"/>
      <c r="BG920" s="405"/>
      <c r="BH920" s="405"/>
      <c r="BI920" s="405"/>
      <c r="BJ920" s="405"/>
      <c r="BK920" s="405"/>
      <c r="BL920" s="405"/>
      <c r="BM920" s="405"/>
      <c r="BN920" s="405"/>
      <c r="BO920" s="405"/>
      <c r="BP920" s="405"/>
      <c r="BQ920" s="405"/>
      <c r="BR920" s="405"/>
      <c r="BS920" s="405"/>
      <c r="BT920" s="405"/>
      <c r="BU920" s="405"/>
      <c r="BV920" s="405"/>
      <c r="BW920" s="405"/>
      <c r="BX920" s="6"/>
      <c r="BY920" s="6"/>
      <c r="BZ920" s="6"/>
      <c r="CA920" s="6"/>
      <c r="CB920" s="6"/>
      <c r="CC920" s="6"/>
      <c r="CD920" s="6"/>
      <c r="CE920" s="6"/>
      <c r="CF920" s="6"/>
      <c r="CG920" s="6"/>
    </row>
    <row r="921" spans="1:85" ht="15.75" customHeight="1">
      <c r="A921" s="553"/>
      <c r="B921" s="223"/>
      <c r="C921" s="554"/>
      <c r="D921" s="223"/>
      <c r="E921" s="505"/>
      <c r="F921" s="505"/>
      <c r="G921" s="402"/>
      <c r="H921" s="505"/>
      <c r="I921" s="555"/>
      <c r="J921" s="555"/>
      <c r="K921" s="505"/>
      <c r="L921" s="404"/>
      <c r="M921" s="405"/>
      <c r="N921" s="505"/>
      <c r="O921" s="405"/>
      <c r="P921" s="405"/>
      <c r="Q921" s="405"/>
      <c r="R921" s="405"/>
      <c r="S921" s="405"/>
      <c r="T921" s="405"/>
      <c r="U921" s="505"/>
      <c r="V921" s="505"/>
      <c r="W921" s="505"/>
      <c r="X921" s="483"/>
      <c r="Y921" s="483"/>
      <c r="Z921" s="483"/>
      <c r="AA921" s="405"/>
      <c r="AB921" s="405"/>
      <c r="AC921" s="405"/>
      <c r="AD921" s="405"/>
      <c r="AE921" s="445"/>
      <c r="AF921" s="445"/>
      <c r="AG921" s="445"/>
      <c r="AH921" s="445"/>
      <c r="AI921" s="405"/>
      <c r="AJ921" s="405"/>
      <c r="AK921" s="405"/>
      <c r="AL921" s="405"/>
      <c r="AM921" s="405"/>
      <c r="AN921" s="405"/>
      <c r="AO921" s="405"/>
      <c r="AP921" s="405"/>
      <c r="AQ921" s="405"/>
      <c r="AR921" s="405"/>
      <c r="AS921" s="405"/>
      <c r="AT921" s="405"/>
      <c r="AU921" s="405"/>
      <c r="AV921" s="405"/>
      <c r="AW921" s="405"/>
      <c r="AX921" s="405"/>
      <c r="AY921" s="405"/>
      <c r="AZ921" s="405"/>
      <c r="BA921" s="405"/>
      <c r="BB921" s="405"/>
      <c r="BC921" s="405"/>
      <c r="BD921" s="405"/>
      <c r="BE921" s="405"/>
      <c r="BF921" s="405"/>
      <c r="BG921" s="405"/>
      <c r="BH921" s="405"/>
      <c r="BI921" s="405"/>
      <c r="BJ921" s="405"/>
      <c r="BK921" s="405"/>
      <c r="BL921" s="405"/>
      <c r="BM921" s="405"/>
      <c r="BN921" s="405"/>
      <c r="BO921" s="405"/>
      <c r="BP921" s="405"/>
      <c r="BQ921" s="405"/>
      <c r="BR921" s="405"/>
      <c r="BS921" s="405"/>
      <c r="BT921" s="405"/>
      <c r="BU921" s="405"/>
      <c r="BV921" s="405"/>
      <c r="BW921" s="405"/>
      <c r="BX921" s="6"/>
      <c r="BY921" s="6"/>
      <c r="BZ921" s="6"/>
      <c r="CA921" s="6"/>
      <c r="CB921" s="6"/>
      <c r="CC921" s="6"/>
      <c r="CD921" s="6"/>
      <c r="CE921" s="6"/>
      <c r="CF921" s="6"/>
      <c r="CG921" s="6"/>
    </row>
    <row r="922" spans="1:85" ht="15.75" customHeight="1">
      <c r="A922" s="553"/>
      <c r="B922" s="223"/>
      <c r="C922" s="554"/>
      <c r="D922" s="223"/>
      <c r="E922" s="505"/>
      <c r="F922" s="505"/>
      <c r="G922" s="402"/>
      <c r="H922" s="505"/>
      <c r="I922" s="555"/>
      <c r="J922" s="555"/>
      <c r="K922" s="505"/>
      <c r="L922" s="404"/>
      <c r="M922" s="405"/>
      <c r="N922" s="505"/>
      <c r="O922" s="405"/>
      <c r="P922" s="405"/>
      <c r="Q922" s="405"/>
      <c r="R922" s="405"/>
      <c r="S922" s="405"/>
      <c r="T922" s="405"/>
      <c r="U922" s="505"/>
      <c r="V922" s="505"/>
      <c r="W922" s="505"/>
      <c r="X922" s="483"/>
      <c r="Y922" s="483"/>
      <c r="Z922" s="483"/>
      <c r="AA922" s="405"/>
      <c r="AB922" s="405"/>
      <c r="AC922" s="405"/>
      <c r="AD922" s="405"/>
      <c r="AE922" s="445"/>
      <c r="AF922" s="445"/>
      <c r="AG922" s="445"/>
      <c r="AH922" s="445"/>
      <c r="AI922" s="405"/>
      <c r="AJ922" s="405"/>
      <c r="AK922" s="405"/>
      <c r="AL922" s="405"/>
      <c r="AM922" s="405"/>
      <c r="AN922" s="405"/>
      <c r="AO922" s="405"/>
      <c r="AP922" s="405"/>
      <c r="AQ922" s="405"/>
      <c r="AR922" s="405"/>
      <c r="AS922" s="405"/>
      <c r="AT922" s="405"/>
      <c r="AU922" s="405"/>
      <c r="AV922" s="405"/>
      <c r="AW922" s="405"/>
      <c r="AX922" s="405"/>
      <c r="AY922" s="405"/>
      <c r="AZ922" s="405"/>
      <c r="BA922" s="405"/>
      <c r="BB922" s="405"/>
      <c r="BC922" s="405"/>
      <c r="BD922" s="405"/>
      <c r="BE922" s="405"/>
      <c r="BF922" s="405"/>
      <c r="BG922" s="405"/>
      <c r="BH922" s="405"/>
      <c r="BI922" s="405"/>
      <c r="BJ922" s="405"/>
      <c r="BK922" s="405"/>
      <c r="BL922" s="405"/>
      <c r="BM922" s="405"/>
      <c r="BN922" s="405"/>
      <c r="BO922" s="405"/>
      <c r="BP922" s="405"/>
      <c r="BQ922" s="405"/>
      <c r="BR922" s="405"/>
      <c r="BS922" s="405"/>
      <c r="BT922" s="405"/>
      <c r="BU922" s="405"/>
      <c r="BV922" s="405"/>
      <c r="BW922" s="405"/>
      <c r="BX922" s="6"/>
      <c r="BY922" s="6"/>
      <c r="BZ922" s="6"/>
      <c r="CA922" s="6"/>
      <c r="CB922" s="6"/>
      <c r="CC922" s="6"/>
      <c r="CD922" s="6"/>
      <c r="CE922" s="6"/>
      <c r="CF922" s="6"/>
      <c r="CG922" s="6"/>
    </row>
    <row r="923" spans="1:85" ht="15.75" customHeight="1">
      <c r="A923" s="553"/>
      <c r="B923" s="223"/>
      <c r="C923" s="554"/>
      <c r="D923" s="223"/>
      <c r="E923" s="505"/>
      <c r="F923" s="505"/>
      <c r="G923" s="402"/>
      <c r="H923" s="505"/>
      <c r="I923" s="555"/>
      <c r="J923" s="555"/>
      <c r="K923" s="505"/>
      <c r="L923" s="404"/>
      <c r="M923" s="405"/>
      <c r="N923" s="505"/>
      <c r="O923" s="405"/>
      <c r="P923" s="405"/>
      <c r="Q923" s="405"/>
      <c r="R923" s="405"/>
      <c r="S923" s="405"/>
      <c r="T923" s="405"/>
      <c r="U923" s="505"/>
      <c r="V923" s="505"/>
      <c r="W923" s="505"/>
      <c r="X923" s="483"/>
      <c r="Y923" s="483"/>
      <c r="Z923" s="483"/>
      <c r="AA923" s="405"/>
      <c r="AB923" s="405"/>
      <c r="AC923" s="405"/>
      <c r="AD923" s="405"/>
      <c r="AE923" s="445"/>
      <c r="AF923" s="445"/>
      <c r="AG923" s="445"/>
      <c r="AH923" s="445"/>
      <c r="AI923" s="405"/>
      <c r="AJ923" s="405"/>
      <c r="AK923" s="405"/>
      <c r="AL923" s="405"/>
      <c r="AM923" s="405"/>
      <c r="AN923" s="405"/>
      <c r="AO923" s="405"/>
      <c r="AP923" s="405"/>
      <c r="AQ923" s="405"/>
      <c r="AR923" s="405"/>
      <c r="AS923" s="405"/>
      <c r="AT923" s="405"/>
      <c r="AU923" s="405"/>
      <c r="AV923" s="405"/>
      <c r="AW923" s="405"/>
      <c r="AX923" s="405"/>
      <c r="AY923" s="405"/>
      <c r="AZ923" s="405"/>
      <c r="BA923" s="405"/>
      <c r="BB923" s="405"/>
      <c r="BC923" s="405"/>
      <c r="BD923" s="405"/>
      <c r="BE923" s="405"/>
      <c r="BF923" s="405"/>
      <c r="BG923" s="405"/>
      <c r="BH923" s="405"/>
      <c r="BI923" s="405"/>
      <c r="BJ923" s="405"/>
      <c r="BK923" s="405"/>
      <c r="BL923" s="405"/>
      <c r="BM923" s="405"/>
      <c r="BN923" s="405"/>
      <c r="BO923" s="405"/>
      <c r="BP923" s="405"/>
      <c r="BQ923" s="405"/>
      <c r="BR923" s="405"/>
      <c r="BS923" s="405"/>
      <c r="BT923" s="405"/>
      <c r="BU923" s="405"/>
      <c r="BV923" s="405"/>
      <c r="BW923" s="405"/>
      <c r="BX923" s="6"/>
      <c r="BY923" s="6"/>
      <c r="BZ923" s="6"/>
      <c r="CA923" s="6"/>
      <c r="CB923" s="6"/>
      <c r="CC923" s="6"/>
      <c r="CD923" s="6"/>
      <c r="CE923" s="6"/>
      <c r="CF923" s="6"/>
      <c r="CG923" s="6"/>
    </row>
    <row r="924" spans="1:85" ht="15.75" customHeight="1">
      <c r="A924" s="553"/>
      <c r="B924" s="223"/>
      <c r="C924" s="554"/>
      <c r="D924" s="223"/>
      <c r="E924" s="505"/>
      <c r="F924" s="505"/>
      <c r="G924" s="402"/>
      <c r="H924" s="505"/>
      <c r="I924" s="555"/>
      <c r="J924" s="555"/>
      <c r="K924" s="505"/>
      <c r="L924" s="404"/>
      <c r="M924" s="405"/>
      <c r="N924" s="505"/>
      <c r="O924" s="405"/>
      <c r="P924" s="405"/>
      <c r="Q924" s="405"/>
      <c r="R924" s="405"/>
      <c r="S924" s="405"/>
      <c r="T924" s="405"/>
      <c r="U924" s="505"/>
      <c r="V924" s="505"/>
      <c r="W924" s="505"/>
      <c r="X924" s="483"/>
      <c r="Y924" s="483"/>
      <c r="Z924" s="483"/>
      <c r="AA924" s="405"/>
      <c r="AB924" s="405"/>
      <c r="AC924" s="405"/>
      <c r="AD924" s="405"/>
      <c r="AE924" s="445"/>
      <c r="AF924" s="445"/>
      <c r="AG924" s="445"/>
      <c r="AH924" s="445"/>
      <c r="AI924" s="405"/>
      <c r="AJ924" s="405"/>
      <c r="AK924" s="405"/>
      <c r="AL924" s="405"/>
      <c r="AM924" s="405"/>
      <c r="AN924" s="405"/>
      <c r="AO924" s="405"/>
      <c r="AP924" s="405"/>
      <c r="AQ924" s="405"/>
      <c r="AR924" s="405"/>
      <c r="AS924" s="405"/>
      <c r="AT924" s="405"/>
      <c r="AU924" s="405"/>
      <c r="AV924" s="405"/>
      <c r="AW924" s="405"/>
      <c r="AX924" s="405"/>
      <c r="AY924" s="405"/>
      <c r="AZ924" s="405"/>
      <c r="BA924" s="405"/>
      <c r="BB924" s="405"/>
      <c r="BC924" s="405"/>
      <c r="BD924" s="405"/>
      <c r="BE924" s="405"/>
      <c r="BF924" s="405"/>
      <c r="BG924" s="405"/>
      <c r="BH924" s="405"/>
      <c r="BI924" s="405"/>
      <c r="BJ924" s="405"/>
      <c r="BK924" s="405"/>
      <c r="BL924" s="405"/>
      <c r="BM924" s="405"/>
      <c r="BN924" s="405"/>
      <c r="BO924" s="405"/>
      <c r="BP924" s="405"/>
      <c r="BQ924" s="405"/>
      <c r="BR924" s="405"/>
      <c r="BS924" s="405"/>
      <c r="BT924" s="405"/>
      <c r="BU924" s="405"/>
      <c r="BV924" s="405"/>
      <c r="BW924" s="405"/>
      <c r="BX924" s="6"/>
      <c r="BY924" s="6"/>
      <c r="BZ924" s="6"/>
      <c r="CA924" s="6"/>
      <c r="CB924" s="6"/>
      <c r="CC924" s="6"/>
      <c r="CD924" s="6"/>
      <c r="CE924" s="6"/>
      <c r="CF924" s="6"/>
      <c r="CG924" s="6"/>
    </row>
    <row r="925" spans="1:85" ht="15.75" customHeight="1">
      <c r="A925" s="553"/>
      <c r="B925" s="223"/>
      <c r="C925" s="554"/>
      <c r="D925" s="223"/>
      <c r="E925" s="505"/>
      <c r="F925" s="505"/>
      <c r="G925" s="402"/>
      <c r="H925" s="505"/>
      <c r="I925" s="555"/>
      <c r="J925" s="555"/>
      <c r="K925" s="505"/>
      <c r="L925" s="404"/>
      <c r="M925" s="405"/>
      <c r="N925" s="505"/>
      <c r="O925" s="405"/>
      <c r="P925" s="405"/>
      <c r="Q925" s="405"/>
      <c r="R925" s="405"/>
      <c r="S925" s="405"/>
      <c r="T925" s="405"/>
      <c r="U925" s="505"/>
      <c r="V925" s="505"/>
      <c r="W925" s="505"/>
      <c r="X925" s="483"/>
      <c r="Y925" s="483"/>
      <c r="Z925" s="483"/>
      <c r="AA925" s="405"/>
      <c r="AB925" s="405"/>
      <c r="AC925" s="405"/>
      <c r="AD925" s="405"/>
      <c r="AE925" s="445"/>
      <c r="AF925" s="445"/>
      <c r="AG925" s="445"/>
      <c r="AH925" s="445"/>
      <c r="AI925" s="405"/>
      <c r="AJ925" s="405"/>
      <c r="AK925" s="405"/>
      <c r="AL925" s="405"/>
      <c r="AM925" s="405"/>
      <c r="AN925" s="405"/>
      <c r="AO925" s="405"/>
      <c r="AP925" s="405"/>
      <c r="AQ925" s="405"/>
      <c r="AR925" s="405"/>
      <c r="AS925" s="405"/>
      <c r="AT925" s="405"/>
      <c r="AU925" s="405"/>
      <c r="AV925" s="405"/>
      <c r="AW925" s="405"/>
      <c r="AX925" s="405"/>
      <c r="AY925" s="405"/>
      <c r="AZ925" s="405"/>
      <c r="BA925" s="405"/>
      <c r="BB925" s="405"/>
      <c r="BC925" s="405"/>
      <c r="BD925" s="405"/>
      <c r="BE925" s="405"/>
      <c r="BF925" s="405"/>
      <c r="BG925" s="405"/>
      <c r="BH925" s="405"/>
      <c r="BI925" s="405"/>
      <c r="BJ925" s="405"/>
      <c r="BK925" s="405"/>
      <c r="BL925" s="405"/>
      <c r="BM925" s="405"/>
      <c r="BN925" s="405"/>
      <c r="BO925" s="405"/>
      <c r="BP925" s="405"/>
      <c r="BQ925" s="405"/>
      <c r="BR925" s="405"/>
      <c r="BS925" s="405"/>
      <c r="BT925" s="405"/>
      <c r="BU925" s="405"/>
      <c r="BV925" s="405"/>
      <c r="BW925" s="405"/>
      <c r="BX925" s="6"/>
      <c r="BY925" s="6"/>
      <c r="BZ925" s="6"/>
      <c r="CA925" s="6"/>
      <c r="CB925" s="6"/>
      <c r="CC925" s="6"/>
      <c r="CD925" s="6"/>
      <c r="CE925" s="6"/>
      <c r="CF925" s="6"/>
      <c r="CG925" s="6"/>
    </row>
    <row r="926" spans="1:85" ht="15.75" customHeight="1">
      <c r="A926" s="553"/>
      <c r="B926" s="223"/>
      <c r="C926" s="554"/>
      <c r="D926" s="223"/>
      <c r="E926" s="505"/>
      <c r="F926" s="505"/>
      <c r="G926" s="402"/>
      <c r="H926" s="505"/>
      <c r="I926" s="555"/>
      <c r="J926" s="555"/>
      <c r="K926" s="505"/>
      <c r="L926" s="404"/>
      <c r="M926" s="405"/>
      <c r="N926" s="505"/>
      <c r="O926" s="405"/>
      <c r="P926" s="405"/>
      <c r="Q926" s="405"/>
      <c r="R926" s="405"/>
      <c r="S926" s="405"/>
      <c r="T926" s="405"/>
      <c r="U926" s="505"/>
      <c r="V926" s="505"/>
      <c r="W926" s="505"/>
      <c r="X926" s="483"/>
      <c r="Y926" s="483"/>
      <c r="Z926" s="483"/>
      <c r="AA926" s="405"/>
      <c r="AB926" s="405"/>
      <c r="AC926" s="405"/>
      <c r="AD926" s="405"/>
      <c r="AE926" s="445"/>
      <c r="AF926" s="445"/>
      <c r="AG926" s="445"/>
      <c r="AH926" s="445"/>
      <c r="AI926" s="405"/>
      <c r="AJ926" s="405"/>
      <c r="AK926" s="405"/>
      <c r="AL926" s="405"/>
      <c r="AM926" s="405"/>
      <c r="AN926" s="405"/>
      <c r="AO926" s="405"/>
      <c r="AP926" s="405"/>
      <c r="AQ926" s="405"/>
      <c r="AR926" s="405"/>
      <c r="AS926" s="405"/>
      <c r="AT926" s="405"/>
      <c r="AU926" s="405"/>
      <c r="AV926" s="405"/>
      <c r="AW926" s="405"/>
      <c r="AX926" s="405"/>
      <c r="AY926" s="405"/>
      <c r="AZ926" s="405"/>
      <c r="BA926" s="405"/>
      <c r="BB926" s="405"/>
      <c r="BC926" s="405"/>
      <c r="BD926" s="405"/>
      <c r="BE926" s="405"/>
      <c r="BF926" s="405"/>
      <c r="BG926" s="405"/>
      <c r="BH926" s="405"/>
      <c r="BI926" s="405"/>
      <c r="BJ926" s="405"/>
      <c r="BK926" s="405"/>
      <c r="BL926" s="405"/>
      <c r="BM926" s="405"/>
      <c r="BN926" s="405"/>
      <c r="BO926" s="405"/>
      <c r="BP926" s="405"/>
      <c r="BQ926" s="405"/>
      <c r="BR926" s="405"/>
      <c r="BS926" s="405"/>
      <c r="BT926" s="405"/>
      <c r="BU926" s="405"/>
      <c r="BV926" s="405"/>
      <c r="BW926" s="405"/>
      <c r="BX926" s="6"/>
      <c r="BY926" s="6"/>
      <c r="BZ926" s="6"/>
      <c r="CA926" s="6"/>
      <c r="CB926" s="6"/>
      <c r="CC926" s="6"/>
      <c r="CD926" s="6"/>
      <c r="CE926" s="6"/>
      <c r="CF926" s="6"/>
      <c r="CG926" s="6"/>
    </row>
    <row r="927" spans="1:85" ht="15.75" customHeight="1">
      <c r="A927" s="553"/>
      <c r="B927" s="223"/>
      <c r="C927" s="554"/>
      <c r="D927" s="223"/>
      <c r="E927" s="505"/>
      <c r="F927" s="505"/>
      <c r="G927" s="402"/>
      <c r="H927" s="505"/>
      <c r="I927" s="555"/>
      <c r="J927" s="555"/>
      <c r="K927" s="505"/>
      <c r="L927" s="404"/>
      <c r="M927" s="405"/>
      <c r="N927" s="505"/>
      <c r="O927" s="405"/>
      <c r="P927" s="405"/>
      <c r="Q927" s="405"/>
      <c r="R927" s="405"/>
      <c r="S927" s="405"/>
      <c r="T927" s="405"/>
      <c r="U927" s="505"/>
      <c r="V927" s="505"/>
      <c r="W927" s="505"/>
      <c r="X927" s="483"/>
      <c r="Y927" s="483"/>
      <c r="Z927" s="483"/>
      <c r="AA927" s="405"/>
      <c r="AB927" s="405"/>
      <c r="AC927" s="405"/>
      <c r="AD927" s="405"/>
      <c r="AE927" s="445"/>
      <c r="AF927" s="445"/>
      <c r="AG927" s="445"/>
      <c r="AH927" s="445"/>
      <c r="AI927" s="405"/>
      <c r="AJ927" s="405"/>
      <c r="AK927" s="405"/>
      <c r="AL927" s="405"/>
      <c r="AM927" s="405"/>
      <c r="AN927" s="405"/>
      <c r="AO927" s="405"/>
      <c r="AP927" s="405"/>
      <c r="AQ927" s="405"/>
      <c r="AR927" s="405"/>
      <c r="AS927" s="405"/>
      <c r="AT927" s="405"/>
      <c r="AU927" s="405"/>
      <c r="AV927" s="405"/>
      <c r="AW927" s="405"/>
      <c r="AX927" s="405"/>
      <c r="AY927" s="405"/>
      <c r="AZ927" s="405"/>
      <c r="BA927" s="405"/>
      <c r="BB927" s="405"/>
      <c r="BC927" s="405"/>
      <c r="BD927" s="405"/>
      <c r="BE927" s="405"/>
      <c r="BF927" s="405"/>
      <c r="BG927" s="405"/>
      <c r="BH927" s="405"/>
      <c r="BI927" s="405"/>
      <c r="BJ927" s="405"/>
      <c r="BK927" s="405"/>
      <c r="BL927" s="405"/>
      <c r="BM927" s="405"/>
      <c r="BN927" s="405"/>
      <c r="BO927" s="405"/>
      <c r="BP927" s="405"/>
      <c r="BQ927" s="405"/>
      <c r="BR927" s="405"/>
      <c r="BS927" s="405"/>
      <c r="BT927" s="405"/>
      <c r="BU927" s="405"/>
      <c r="BV927" s="405"/>
      <c r="BW927" s="405"/>
      <c r="BX927" s="6"/>
      <c r="BY927" s="6"/>
      <c r="BZ927" s="6"/>
      <c r="CA927" s="6"/>
      <c r="CB927" s="6"/>
      <c r="CC927" s="6"/>
      <c r="CD927" s="6"/>
      <c r="CE927" s="6"/>
      <c r="CF927" s="6"/>
      <c r="CG927" s="6"/>
    </row>
    <row r="928" spans="1:85" ht="15.75" customHeight="1">
      <c r="A928" s="553"/>
      <c r="B928" s="223"/>
      <c r="C928" s="554"/>
      <c r="D928" s="223"/>
      <c r="E928" s="505"/>
      <c r="F928" s="505"/>
      <c r="G928" s="402"/>
      <c r="H928" s="505"/>
      <c r="I928" s="555"/>
      <c r="J928" s="555"/>
      <c r="K928" s="505"/>
      <c r="L928" s="404"/>
      <c r="M928" s="405"/>
      <c r="N928" s="505"/>
      <c r="O928" s="405"/>
      <c r="P928" s="405"/>
      <c r="Q928" s="405"/>
      <c r="R928" s="405"/>
      <c r="S928" s="405"/>
      <c r="T928" s="405"/>
      <c r="U928" s="505"/>
      <c r="V928" s="505"/>
      <c r="W928" s="505"/>
      <c r="X928" s="483"/>
      <c r="Y928" s="483"/>
      <c r="Z928" s="483"/>
      <c r="AA928" s="405"/>
      <c r="AB928" s="405"/>
      <c r="AC928" s="405"/>
      <c r="AD928" s="405"/>
      <c r="AE928" s="445"/>
      <c r="AF928" s="445"/>
      <c r="AG928" s="445"/>
      <c r="AH928" s="445"/>
      <c r="AI928" s="405"/>
      <c r="AJ928" s="405"/>
      <c r="AK928" s="405"/>
      <c r="AL928" s="405"/>
      <c r="AM928" s="405"/>
      <c r="AN928" s="405"/>
      <c r="AO928" s="405"/>
      <c r="AP928" s="405"/>
      <c r="AQ928" s="405"/>
      <c r="AR928" s="405"/>
      <c r="AS928" s="405"/>
      <c r="AT928" s="405"/>
      <c r="AU928" s="405"/>
      <c r="AV928" s="405"/>
      <c r="AW928" s="405"/>
      <c r="AX928" s="405"/>
      <c r="AY928" s="405"/>
      <c r="AZ928" s="405"/>
      <c r="BA928" s="405"/>
      <c r="BB928" s="405"/>
      <c r="BC928" s="405"/>
      <c r="BD928" s="405"/>
      <c r="BE928" s="405"/>
      <c r="BF928" s="405"/>
      <c r="BG928" s="405"/>
      <c r="BH928" s="405"/>
      <c r="BI928" s="405"/>
      <c r="BJ928" s="405"/>
      <c r="BK928" s="405"/>
      <c r="BL928" s="405"/>
      <c r="BM928" s="405"/>
      <c r="BN928" s="405"/>
      <c r="BO928" s="405"/>
      <c r="BP928" s="405"/>
      <c r="BQ928" s="405"/>
      <c r="BR928" s="405"/>
      <c r="BS928" s="405"/>
      <c r="BT928" s="405"/>
      <c r="BU928" s="405"/>
      <c r="BV928" s="405"/>
      <c r="BW928" s="405"/>
      <c r="BX928" s="6"/>
      <c r="BY928" s="6"/>
      <c r="BZ928" s="6"/>
      <c r="CA928" s="6"/>
      <c r="CB928" s="6"/>
      <c r="CC928" s="6"/>
      <c r="CD928" s="6"/>
      <c r="CE928" s="6"/>
      <c r="CF928" s="6"/>
      <c r="CG928" s="6"/>
    </row>
    <row r="929" spans="1:85" ht="15.75" customHeight="1">
      <c r="A929" s="553"/>
      <c r="B929" s="223"/>
      <c r="C929" s="554"/>
      <c r="D929" s="223"/>
      <c r="E929" s="505"/>
      <c r="F929" s="505"/>
      <c r="G929" s="402"/>
      <c r="H929" s="505"/>
      <c r="I929" s="555"/>
      <c r="J929" s="555"/>
      <c r="K929" s="505"/>
      <c r="L929" s="404"/>
      <c r="M929" s="405"/>
      <c r="N929" s="505"/>
      <c r="O929" s="405"/>
      <c r="P929" s="405"/>
      <c r="Q929" s="405"/>
      <c r="R929" s="405"/>
      <c r="S929" s="405"/>
      <c r="T929" s="405"/>
      <c r="U929" s="505"/>
      <c r="V929" s="505"/>
      <c r="W929" s="505"/>
      <c r="X929" s="483"/>
      <c r="Y929" s="483"/>
      <c r="Z929" s="483"/>
      <c r="AA929" s="405"/>
      <c r="AB929" s="405"/>
      <c r="AC929" s="405"/>
      <c r="AD929" s="405"/>
      <c r="AE929" s="445"/>
      <c r="AF929" s="445"/>
      <c r="AG929" s="445"/>
      <c r="AH929" s="445"/>
      <c r="AI929" s="405"/>
      <c r="AJ929" s="405"/>
      <c r="AK929" s="405"/>
      <c r="AL929" s="405"/>
      <c r="AM929" s="405"/>
      <c r="AN929" s="405"/>
      <c r="AO929" s="405"/>
      <c r="AP929" s="405"/>
      <c r="AQ929" s="405"/>
      <c r="AR929" s="405"/>
      <c r="AS929" s="405"/>
      <c r="AT929" s="405"/>
      <c r="AU929" s="405"/>
      <c r="AV929" s="405"/>
      <c r="AW929" s="405"/>
      <c r="AX929" s="405"/>
      <c r="AY929" s="405"/>
      <c r="AZ929" s="405"/>
      <c r="BA929" s="405"/>
      <c r="BB929" s="405"/>
      <c r="BC929" s="405"/>
      <c r="BD929" s="405"/>
      <c r="BE929" s="405"/>
      <c r="BF929" s="405"/>
      <c r="BG929" s="405"/>
      <c r="BH929" s="405"/>
      <c r="BI929" s="405"/>
      <c r="BJ929" s="405"/>
      <c r="BK929" s="405"/>
      <c r="BL929" s="405"/>
      <c r="BM929" s="405"/>
      <c r="BN929" s="405"/>
      <c r="BO929" s="405"/>
      <c r="BP929" s="405"/>
      <c r="BQ929" s="405"/>
      <c r="BR929" s="405"/>
      <c r="BS929" s="405"/>
      <c r="BT929" s="405"/>
      <c r="BU929" s="405"/>
      <c r="BV929" s="405"/>
      <c r="BW929" s="405"/>
      <c r="BX929" s="6"/>
      <c r="BY929" s="6"/>
      <c r="BZ929" s="6"/>
      <c r="CA929" s="6"/>
      <c r="CB929" s="6"/>
      <c r="CC929" s="6"/>
      <c r="CD929" s="6"/>
      <c r="CE929" s="6"/>
      <c r="CF929" s="6"/>
      <c r="CG929" s="6"/>
    </row>
    <row r="930" spans="1:85" ht="15.75" customHeight="1">
      <c r="A930" s="553"/>
      <c r="B930" s="223"/>
      <c r="C930" s="554"/>
      <c r="D930" s="223"/>
      <c r="E930" s="505"/>
      <c r="F930" s="505"/>
      <c r="G930" s="402"/>
      <c r="H930" s="505"/>
      <c r="I930" s="555"/>
      <c r="J930" s="555"/>
      <c r="K930" s="505"/>
      <c r="L930" s="404"/>
      <c r="M930" s="405"/>
      <c r="N930" s="505"/>
      <c r="O930" s="405"/>
      <c r="P930" s="405"/>
      <c r="Q930" s="405"/>
      <c r="R930" s="405"/>
      <c r="S930" s="405"/>
      <c r="T930" s="405"/>
      <c r="U930" s="505"/>
      <c r="V930" s="505"/>
      <c r="W930" s="505"/>
      <c r="X930" s="483"/>
      <c r="Y930" s="483"/>
      <c r="Z930" s="483"/>
      <c r="AA930" s="405"/>
      <c r="AB930" s="405"/>
      <c r="AC930" s="405"/>
      <c r="AD930" s="405"/>
      <c r="AE930" s="445"/>
      <c r="AF930" s="445"/>
      <c r="AG930" s="445"/>
      <c r="AH930" s="445"/>
      <c r="AI930" s="405"/>
      <c r="AJ930" s="405"/>
      <c r="AK930" s="405"/>
      <c r="AL930" s="405"/>
      <c r="AM930" s="405"/>
      <c r="AN930" s="405"/>
      <c r="AO930" s="405"/>
      <c r="AP930" s="405"/>
      <c r="AQ930" s="405"/>
      <c r="AR930" s="405"/>
      <c r="AS930" s="405"/>
      <c r="AT930" s="405"/>
      <c r="AU930" s="405"/>
      <c r="AV930" s="405"/>
      <c r="AW930" s="405"/>
      <c r="AX930" s="405"/>
      <c r="AY930" s="405"/>
      <c r="AZ930" s="405"/>
      <c r="BA930" s="405"/>
      <c r="BB930" s="405"/>
      <c r="BC930" s="405"/>
      <c r="BD930" s="405"/>
      <c r="BE930" s="405"/>
      <c r="BF930" s="405"/>
      <c r="BG930" s="405"/>
      <c r="BH930" s="405"/>
      <c r="BI930" s="405"/>
      <c r="BJ930" s="405"/>
      <c r="BK930" s="405"/>
      <c r="BL930" s="405"/>
      <c r="BM930" s="405"/>
      <c r="BN930" s="405"/>
      <c r="BO930" s="405"/>
      <c r="BP930" s="405"/>
      <c r="BQ930" s="405"/>
      <c r="BR930" s="405"/>
      <c r="BS930" s="405"/>
      <c r="BT930" s="405"/>
      <c r="BU930" s="405"/>
      <c r="BV930" s="405"/>
      <c r="BW930" s="405"/>
      <c r="BX930" s="6"/>
      <c r="BY930" s="6"/>
      <c r="BZ930" s="6"/>
      <c r="CA930" s="6"/>
      <c r="CB930" s="6"/>
      <c r="CC930" s="6"/>
      <c r="CD930" s="6"/>
      <c r="CE930" s="6"/>
      <c r="CF930" s="6"/>
      <c r="CG930" s="6"/>
    </row>
    <row r="931" spans="1:85" ht="15.75" customHeight="1">
      <c r="A931" s="553"/>
      <c r="B931" s="223"/>
      <c r="C931" s="554"/>
      <c r="D931" s="223"/>
      <c r="E931" s="505"/>
      <c r="F931" s="505"/>
      <c r="G931" s="402"/>
      <c r="H931" s="505"/>
      <c r="I931" s="555"/>
      <c r="J931" s="555"/>
      <c r="K931" s="505"/>
      <c r="L931" s="404"/>
      <c r="M931" s="405"/>
      <c r="N931" s="505"/>
      <c r="O931" s="405"/>
      <c r="P931" s="405"/>
      <c r="Q931" s="405"/>
      <c r="R931" s="405"/>
      <c r="S931" s="405"/>
      <c r="T931" s="405"/>
      <c r="U931" s="505"/>
      <c r="V931" s="505"/>
      <c r="W931" s="505"/>
      <c r="X931" s="483"/>
      <c r="Y931" s="483"/>
      <c r="Z931" s="483"/>
      <c r="AA931" s="405"/>
      <c r="AB931" s="405"/>
      <c r="AC931" s="405"/>
      <c r="AD931" s="405"/>
      <c r="AE931" s="445"/>
      <c r="AF931" s="445"/>
      <c r="AG931" s="445"/>
      <c r="AH931" s="445"/>
      <c r="AI931" s="405"/>
      <c r="AJ931" s="405"/>
      <c r="AK931" s="405"/>
      <c r="AL931" s="405"/>
      <c r="AM931" s="405"/>
      <c r="AN931" s="405"/>
      <c r="AO931" s="405"/>
      <c r="AP931" s="405"/>
      <c r="AQ931" s="405"/>
      <c r="AR931" s="405"/>
      <c r="AS931" s="405"/>
      <c r="AT931" s="405"/>
      <c r="AU931" s="405"/>
      <c r="AV931" s="405"/>
      <c r="AW931" s="405"/>
      <c r="AX931" s="405"/>
      <c r="AY931" s="405"/>
      <c r="AZ931" s="405"/>
      <c r="BA931" s="405"/>
      <c r="BB931" s="405"/>
      <c r="BC931" s="405"/>
      <c r="BD931" s="405"/>
      <c r="BE931" s="405"/>
      <c r="BF931" s="405"/>
      <c r="BG931" s="405"/>
      <c r="BH931" s="405"/>
      <c r="BI931" s="405"/>
      <c r="BJ931" s="405"/>
      <c r="BK931" s="405"/>
      <c r="BL931" s="405"/>
      <c r="BM931" s="405"/>
      <c r="BN931" s="405"/>
      <c r="BO931" s="405"/>
      <c r="BP931" s="405"/>
      <c r="BQ931" s="405"/>
      <c r="BR931" s="405"/>
      <c r="BS931" s="405"/>
      <c r="BT931" s="405"/>
      <c r="BU931" s="405"/>
      <c r="BV931" s="405"/>
      <c r="BW931" s="405"/>
      <c r="BX931" s="6"/>
      <c r="BY931" s="6"/>
      <c r="BZ931" s="6"/>
      <c r="CA931" s="6"/>
      <c r="CB931" s="6"/>
      <c r="CC931" s="6"/>
      <c r="CD931" s="6"/>
      <c r="CE931" s="6"/>
      <c r="CF931" s="6"/>
      <c r="CG931" s="6"/>
    </row>
    <row r="932" spans="1:85" ht="15.75" customHeight="1">
      <c r="A932" s="553"/>
      <c r="B932" s="223"/>
      <c r="C932" s="554"/>
      <c r="D932" s="223"/>
      <c r="E932" s="505"/>
      <c r="F932" s="505"/>
      <c r="G932" s="402"/>
      <c r="H932" s="505"/>
      <c r="I932" s="555"/>
      <c r="J932" s="555"/>
      <c r="K932" s="505"/>
      <c r="L932" s="404"/>
      <c r="M932" s="405"/>
      <c r="N932" s="505"/>
      <c r="O932" s="405"/>
      <c r="P932" s="405"/>
      <c r="Q932" s="405"/>
      <c r="R932" s="405"/>
      <c r="S932" s="405"/>
      <c r="T932" s="405"/>
      <c r="U932" s="505"/>
      <c r="V932" s="505"/>
      <c r="W932" s="505"/>
      <c r="X932" s="483"/>
      <c r="Y932" s="483"/>
      <c r="Z932" s="483"/>
      <c r="AA932" s="405"/>
      <c r="AB932" s="405"/>
      <c r="AC932" s="405"/>
      <c r="AD932" s="405"/>
      <c r="AE932" s="445"/>
      <c r="AF932" s="445"/>
      <c r="AG932" s="445"/>
      <c r="AH932" s="445"/>
      <c r="AI932" s="405"/>
      <c r="AJ932" s="405"/>
      <c r="AK932" s="405"/>
      <c r="AL932" s="405"/>
      <c r="AM932" s="405"/>
      <c r="AN932" s="405"/>
      <c r="AO932" s="405"/>
      <c r="AP932" s="405"/>
      <c r="AQ932" s="405"/>
      <c r="AR932" s="405"/>
      <c r="AS932" s="405"/>
      <c r="AT932" s="405"/>
      <c r="AU932" s="405"/>
      <c r="AV932" s="405"/>
      <c r="AW932" s="405"/>
      <c r="AX932" s="405"/>
      <c r="AY932" s="405"/>
      <c r="AZ932" s="405"/>
      <c r="BA932" s="405"/>
      <c r="BB932" s="405"/>
      <c r="BC932" s="405"/>
      <c r="BD932" s="405"/>
      <c r="BE932" s="405"/>
      <c r="BF932" s="405"/>
      <c r="BG932" s="405"/>
      <c r="BH932" s="405"/>
      <c r="BI932" s="405"/>
      <c r="BJ932" s="405"/>
      <c r="BK932" s="405"/>
      <c r="BL932" s="405"/>
      <c r="BM932" s="405"/>
      <c r="BN932" s="405"/>
      <c r="BO932" s="405"/>
      <c r="BP932" s="405"/>
      <c r="BQ932" s="405"/>
      <c r="BR932" s="405"/>
      <c r="BS932" s="405"/>
      <c r="BT932" s="405"/>
      <c r="BU932" s="405"/>
      <c r="BV932" s="405"/>
      <c r="BW932" s="405"/>
      <c r="BX932" s="6"/>
      <c r="BY932" s="6"/>
      <c r="BZ932" s="6"/>
      <c r="CA932" s="6"/>
      <c r="CB932" s="6"/>
      <c r="CC932" s="6"/>
      <c r="CD932" s="6"/>
      <c r="CE932" s="6"/>
      <c r="CF932" s="6"/>
      <c r="CG932" s="6"/>
    </row>
    <row r="933" spans="1:85" ht="15.75" customHeight="1">
      <c r="A933" s="553"/>
      <c r="B933" s="223"/>
      <c r="C933" s="554"/>
      <c r="D933" s="223"/>
      <c r="E933" s="505"/>
      <c r="F933" s="505"/>
      <c r="G933" s="402"/>
      <c r="H933" s="505"/>
      <c r="I933" s="555"/>
      <c r="J933" s="555"/>
      <c r="K933" s="505"/>
      <c r="L933" s="404"/>
      <c r="M933" s="405"/>
      <c r="N933" s="505"/>
      <c r="O933" s="405"/>
      <c r="P933" s="405"/>
      <c r="Q933" s="405"/>
      <c r="R933" s="405"/>
      <c r="S933" s="405"/>
      <c r="T933" s="405"/>
      <c r="U933" s="505"/>
      <c r="V933" s="505"/>
      <c r="W933" s="505"/>
      <c r="X933" s="483"/>
      <c r="Y933" s="483"/>
      <c r="Z933" s="483"/>
      <c r="AA933" s="405"/>
      <c r="AB933" s="405"/>
      <c r="AC933" s="405"/>
      <c r="AD933" s="405"/>
      <c r="AE933" s="445"/>
      <c r="AF933" s="445"/>
      <c r="AG933" s="445"/>
      <c r="AH933" s="445"/>
      <c r="AI933" s="405"/>
      <c r="AJ933" s="405"/>
      <c r="AK933" s="405"/>
      <c r="AL933" s="405"/>
      <c r="AM933" s="405"/>
      <c r="AN933" s="405"/>
      <c r="AO933" s="405"/>
      <c r="AP933" s="405"/>
      <c r="AQ933" s="405"/>
      <c r="AR933" s="405"/>
      <c r="AS933" s="405"/>
      <c r="AT933" s="405"/>
      <c r="AU933" s="405"/>
      <c r="AV933" s="405"/>
      <c r="AW933" s="405"/>
      <c r="AX933" s="405"/>
      <c r="AY933" s="405"/>
      <c r="AZ933" s="405"/>
      <c r="BA933" s="405"/>
      <c r="BB933" s="405"/>
      <c r="BC933" s="405"/>
      <c r="BD933" s="405"/>
      <c r="BE933" s="405"/>
      <c r="BF933" s="405"/>
      <c r="BG933" s="405"/>
      <c r="BH933" s="405"/>
      <c r="BI933" s="405"/>
      <c r="BJ933" s="405"/>
      <c r="BK933" s="405"/>
      <c r="BL933" s="405"/>
      <c r="BM933" s="405"/>
      <c r="BN933" s="405"/>
      <c r="BO933" s="405"/>
      <c r="BP933" s="405"/>
      <c r="BQ933" s="405"/>
      <c r="BR933" s="405"/>
      <c r="BS933" s="405"/>
      <c r="BT933" s="405"/>
      <c r="BU933" s="405"/>
      <c r="BV933" s="405"/>
      <c r="BW933" s="405"/>
      <c r="BX933" s="6"/>
      <c r="BY933" s="6"/>
      <c r="BZ933" s="6"/>
      <c r="CA933" s="6"/>
      <c r="CB933" s="6"/>
      <c r="CC933" s="6"/>
      <c r="CD933" s="6"/>
      <c r="CE933" s="6"/>
      <c r="CF933" s="6"/>
      <c r="CG933" s="6"/>
    </row>
    <row r="934" spans="1:85" ht="15.75" customHeight="1">
      <c r="A934" s="553"/>
      <c r="B934" s="223"/>
      <c r="C934" s="554"/>
      <c r="D934" s="223"/>
      <c r="E934" s="505"/>
      <c r="F934" s="505"/>
      <c r="G934" s="402"/>
      <c r="H934" s="505"/>
      <c r="I934" s="555"/>
      <c r="J934" s="555"/>
      <c r="K934" s="505"/>
      <c r="L934" s="404"/>
      <c r="M934" s="405"/>
      <c r="N934" s="505"/>
      <c r="O934" s="405"/>
      <c r="P934" s="405"/>
      <c r="Q934" s="405"/>
      <c r="R934" s="405"/>
      <c r="S934" s="405"/>
      <c r="T934" s="405"/>
      <c r="U934" s="505"/>
      <c r="V934" s="505"/>
      <c r="W934" s="505"/>
      <c r="X934" s="483"/>
      <c r="Y934" s="483"/>
      <c r="Z934" s="483"/>
      <c r="AA934" s="405"/>
      <c r="AB934" s="405"/>
      <c r="AC934" s="405"/>
      <c r="AD934" s="405"/>
      <c r="AE934" s="445"/>
      <c r="AF934" s="445"/>
      <c r="AG934" s="445"/>
      <c r="AH934" s="445"/>
      <c r="AI934" s="405"/>
      <c r="AJ934" s="405"/>
      <c r="AK934" s="405"/>
      <c r="AL934" s="405"/>
      <c r="AM934" s="405"/>
      <c r="AN934" s="405"/>
      <c r="AO934" s="405"/>
      <c r="AP934" s="405"/>
      <c r="AQ934" s="405"/>
      <c r="AR934" s="405"/>
      <c r="AS934" s="405"/>
      <c r="AT934" s="405"/>
      <c r="AU934" s="405"/>
      <c r="AV934" s="405"/>
      <c r="AW934" s="405"/>
      <c r="AX934" s="405"/>
      <c r="AY934" s="405"/>
      <c r="AZ934" s="405"/>
      <c r="BA934" s="405"/>
      <c r="BB934" s="405"/>
      <c r="BC934" s="405"/>
      <c r="BD934" s="405"/>
      <c r="BE934" s="405"/>
      <c r="BF934" s="405"/>
      <c r="BG934" s="405"/>
      <c r="BH934" s="405"/>
      <c r="BI934" s="405"/>
      <c r="BJ934" s="405"/>
      <c r="BK934" s="405"/>
      <c r="BL934" s="405"/>
      <c r="BM934" s="405"/>
      <c r="BN934" s="405"/>
      <c r="BO934" s="405"/>
      <c r="BP934" s="405"/>
      <c r="BQ934" s="405"/>
      <c r="BR934" s="405"/>
      <c r="BS934" s="405"/>
      <c r="BT934" s="405"/>
      <c r="BU934" s="405"/>
      <c r="BV934" s="405"/>
      <c r="BW934" s="405"/>
      <c r="BX934" s="6"/>
      <c r="BY934" s="6"/>
      <c r="BZ934" s="6"/>
      <c r="CA934" s="6"/>
      <c r="CB934" s="6"/>
      <c r="CC934" s="6"/>
      <c r="CD934" s="6"/>
      <c r="CE934" s="6"/>
      <c r="CF934" s="6"/>
      <c r="CG934" s="6"/>
    </row>
    <row r="935" spans="1:85" ht="15.75" customHeight="1">
      <c r="A935" s="553"/>
      <c r="B935" s="223"/>
      <c r="C935" s="554"/>
      <c r="D935" s="223"/>
      <c r="E935" s="505"/>
      <c r="F935" s="505"/>
      <c r="G935" s="402"/>
      <c r="H935" s="505"/>
      <c r="I935" s="555"/>
      <c r="J935" s="555"/>
      <c r="K935" s="505"/>
      <c r="L935" s="404"/>
      <c r="M935" s="405"/>
      <c r="N935" s="505"/>
      <c r="O935" s="405"/>
      <c r="P935" s="405"/>
      <c r="Q935" s="405"/>
      <c r="R935" s="405"/>
      <c r="S935" s="405"/>
      <c r="T935" s="405"/>
      <c r="U935" s="505"/>
      <c r="V935" s="505"/>
      <c r="W935" s="505"/>
      <c r="X935" s="483"/>
      <c r="Y935" s="483"/>
      <c r="Z935" s="483"/>
      <c r="AA935" s="405"/>
      <c r="AB935" s="405"/>
      <c r="AC935" s="405"/>
      <c r="AD935" s="405"/>
      <c r="AE935" s="445"/>
      <c r="AF935" s="445"/>
      <c r="AG935" s="445"/>
      <c r="AH935" s="445"/>
      <c r="AI935" s="405"/>
      <c r="AJ935" s="405"/>
      <c r="AK935" s="405"/>
      <c r="AL935" s="405"/>
      <c r="AM935" s="405"/>
      <c r="AN935" s="405"/>
      <c r="AO935" s="405"/>
      <c r="AP935" s="405"/>
      <c r="AQ935" s="405"/>
      <c r="AR935" s="405"/>
      <c r="AS935" s="405"/>
      <c r="AT935" s="405"/>
      <c r="AU935" s="405"/>
      <c r="AV935" s="405"/>
      <c r="AW935" s="405"/>
      <c r="AX935" s="405"/>
      <c r="AY935" s="405"/>
      <c r="AZ935" s="405"/>
      <c r="BA935" s="405"/>
      <c r="BB935" s="405"/>
      <c r="BC935" s="405"/>
      <c r="BD935" s="405"/>
      <c r="BE935" s="405"/>
      <c r="BF935" s="405"/>
      <c r="BG935" s="405"/>
      <c r="BH935" s="405"/>
      <c r="BI935" s="405"/>
      <c r="BJ935" s="405"/>
      <c r="BK935" s="405"/>
      <c r="BL935" s="405"/>
      <c r="BM935" s="405"/>
      <c r="BN935" s="405"/>
      <c r="BO935" s="405"/>
      <c r="BP935" s="405"/>
      <c r="BQ935" s="405"/>
      <c r="BR935" s="405"/>
      <c r="BS935" s="405"/>
      <c r="BT935" s="405"/>
      <c r="BU935" s="405"/>
      <c r="BV935" s="405"/>
      <c r="BW935" s="405"/>
      <c r="BX935" s="6"/>
      <c r="BY935" s="6"/>
      <c r="BZ935" s="6"/>
      <c r="CA935" s="6"/>
      <c r="CB935" s="6"/>
      <c r="CC935" s="6"/>
      <c r="CD935" s="6"/>
      <c r="CE935" s="6"/>
      <c r="CF935" s="6"/>
      <c r="CG935" s="6"/>
    </row>
    <row r="936" spans="1:85" ht="15.75" customHeight="1">
      <c r="A936" s="553"/>
      <c r="B936" s="223"/>
      <c r="C936" s="554"/>
      <c r="D936" s="223"/>
      <c r="E936" s="505"/>
      <c r="F936" s="505"/>
      <c r="G936" s="402"/>
      <c r="H936" s="505"/>
      <c r="I936" s="555"/>
      <c r="J936" s="555"/>
      <c r="K936" s="505"/>
      <c r="L936" s="404"/>
      <c r="M936" s="405"/>
      <c r="N936" s="505"/>
      <c r="O936" s="405"/>
      <c r="P936" s="405"/>
      <c r="Q936" s="405"/>
      <c r="R936" s="405"/>
      <c r="S936" s="405"/>
      <c r="T936" s="405"/>
      <c r="U936" s="505"/>
      <c r="V936" s="505"/>
      <c r="W936" s="505"/>
      <c r="X936" s="483"/>
      <c r="Y936" s="483"/>
      <c r="Z936" s="483"/>
      <c r="AA936" s="405"/>
      <c r="AB936" s="405"/>
      <c r="AC936" s="405"/>
      <c r="AD936" s="405"/>
      <c r="AE936" s="445"/>
      <c r="AF936" s="445"/>
      <c r="AG936" s="445"/>
      <c r="AH936" s="445"/>
      <c r="AI936" s="405"/>
      <c r="AJ936" s="405"/>
      <c r="AK936" s="405"/>
      <c r="AL936" s="405"/>
      <c r="AM936" s="405"/>
      <c r="AN936" s="405"/>
      <c r="AO936" s="405"/>
      <c r="AP936" s="405"/>
      <c r="AQ936" s="405"/>
      <c r="AR936" s="405"/>
      <c r="AS936" s="405"/>
      <c r="AT936" s="405"/>
      <c r="AU936" s="405"/>
      <c r="AV936" s="405"/>
      <c r="AW936" s="405"/>
      <c r="AX936" s="405"/>
      <c r="AY936" s="405"/>
      <c r="AZ936" s="405"/>
      <c r="BA936" s="405"/>
      <c r="BB936" s="405"/>
      <c r="BC936" s="405"/>
      <c r="BD936" s="405"/>
      <c r="BE936" s="405"/>
      <c r="BF936" s="405"/>
      <c r="BG936" s="405"/>
      <c r="BH936" s="405"/>
      <c r="BI936" s="405"/>
      <c r="BJ936" s="405"/>
      <c r="BK936" s="405"/>
      <c r="BL936" s="405"/>
      <c r="BM936" s="405"/>
      <c r="BN936" s="405"/>
      <c r="BO936" s="405"/>
      <c r="BP936" s="405"/>
      <c r="BQ936" s="405"/>
      <c r="BR936" s="405"/>
      <c r="BS936" s="405"/>
      <c r="BT936" s="405"/>
      <c r="BU936" s="405"/>
      <c r="BV936" s="405"/>
      <c r="BW936" s="405"/>
      <c r="BX936" s="6"/>
      <c r="BY936" s="6"/>
      <c r="BZ936" s="6"/>
      <c r="CA936" s="6"/>
      <c r="CB936" s="6"/>
      <c r="CC936" s="6"/>
      <c r="CD936" s="6"/>
      <c r="CE936" s="6"/>
      <c r="CF936" s="6"/>
      <c r="CG936" s="6"/>
    </row>
    <row r="937" spans="1:85" ht="15.75" customHeight="1">
      <c r="A937" s="553"/>
      <c r="B937" s="223"/>
      <c r="C937" s="554"/>
      <c r="D937" s="223"/>
      <c r="E937" s="505"/>
      <c r="F937" s="505"/>
      <c r="G937" s="402"/>
      <c r="H937" s="505"/>
      <c r="I937" s="555"/>
      <c r="J937" s="555"/>
      <c r="K937" s="505"/>
      <c r="L937" s="404"/>
      <c r="M937" s="405"/>
      <c r="N937" s="505"/>
      <c r="O937" s="405"/>
      <c r="P937" s="405"/>
      <c r="Q937" s="405"/>
      <c r="R937" s="405"/>
      <c r="S937" s="405"/>
      <c r="T937" s="405"/>
      <c r="U937" s="505"/>
      <c r="V937" s="505"/>
      <c r="W937" s="505"/>
      <c r="X937" s="483"/>
      <c r="Y937" s="483"/>
      <c r="Z937" s="483"/>
      <c r="AA937" s="405"/>
      <c r="AB937" s="405"/>
      <c r="AC937" s="405"/>
      <c r="AD937" s="405"/>
      <c r="AE937" s="445"/>
      <c r="AF937" s="445"/>
      <c r="AG937" s="445"/>
      <c r="AH937" s="445"/>
      <c r="AI937" s="405"/>
      <c r="AJ937" s="405"/>
      <c r="AK937" s="405"/>
      <c r="AL937" s="405"/>
      <c r="AM937" s="405"/>
      <c r="AN937" s="405"/>
      <c r="AO937" s="405"/>
      <c r="AP937" s="405"/>
      <c r="AQ937" s="405"/>
      <c r="AR937" s="405"/>
      <c r="AS937" s="405"/>
      <c r="AT937" s="405"/>
      <c r="AU937" s="405"/>
      <c r="AV937" s="405"/>
      <c r="AW937" s="405"/>
      <c r="AX937" s="405"/>
      <c r="AY937" s="405"/>
      <c r="AZ937" s="405"/>
      <c r="BA937" s="405"/>
      <c r="BB937" s="405"/>
      <c r="BC937" s="405"/>
      <c r="BD937" s="405"/>
      <c r="BE937" s="405"/>
      <c r="BF937" s="405"/>
      <c r="BG937" s="405"/>
      <c r="BH937" s="405"/>
      <c r="BI937" s="405"/>
      <c r="BJ937" s="405"/>
      <c r="BK937" s="405"/>
      <c r="BL937" s="405"/>
      <c r="BM937" s="405"/>
      <c r="BN937" s="405"/>
      <c r="BO937" s="405"/>
      <c r="BP937" s="405"/>
      <c r="BQ937" s="405"/>
      <c r="BR937" s="405"/>
      <c r="BS937" s="405"/>
      <c r="BT937" s="405"/>
      <c r="BU937" s="405"/>
      <c r="BV937" s="405"/>
      <c r="BW937" s="405"/>
      <c r="BX937" s="6"/>
      <c r="BY937" s="6"/>
      <c r="BZ937" s="6"/>
      <c r="CA937" s="6"/>
      <c r="CB937" s="6"/>
      <c r="CC937" s="6"/>
      <c r="CD937" s="6"/>
      <c r="CE937" s="6"/>
      <c r="CF937" s="6"/>
      <c r="CG937" s="6"/>
    </row>
    <row r="938" spans="1:85" ht="15.75" customHeight="1">
      <c r="A938" s="553"/>
      <c r="B938" s="223"/>
      <c r="C938" s="554"/>
      <c r="D938" s="223"/>
      <c r="E938" s="505"/>
      <c r="F938" s="505"/>
      <c r="G938" s="402"/>
      <c r="H938" s="505"/>
      <c r="I938" s="555"/>
      <c r="J938" s="555"/>
      <c r="K938" s="505"/>
      <c r="L938" s="404"/>
      <c r="M938" s="405"/>
      <c r="N938" s="505"/>
      <c r="O938" s="405"/>
      <c r="P938" s="405"/>
      <c r="Q938" s="405"/>
      <c r="R938" s="405"/>
      <c r="S938" s="405"/>
      <c r="T938" s="405"/>
      <c r="U938" s="505"/>
      <c r="V938" s="505"/>
      <c r="W938" s="505"/>
      <c r="X938" s="483"/>
      <c r="Y938" s="483"/>
      <c r="Z938" s="483"/>
      <c r="AA938" s="405"/>
      <c r="AB938" s="405"/>
      <c r="AC938" s="405"/>
      <c r="AD938" s="405"/>
      <c r="AE938" s="445"/>
      <c r="AF938" s="445"/>
      <c r="AG938" s="445"/>
      <c r="AH938" s="445"/>
      <c r="AI938" s="405"/>
      <c r="AJ938" s="405"/>
      <c r="AK938" s="405"/>
      <c r="AL938" s="405"/>
      <c r="AM938" s="405"/>
      <c r="AN938" s="405"/>
      <c r="AO938" s="405"/>
      <c r="AP938" s="405"/>
      <c r="AQ938" s="405"/>
      <c r="AR938" s="405"/>
      <c r="AS938" s="405"/>
      <c r="AT938" s="405"/>
      <c r="AU938" s="405"/>
      <c r="AV938" s="405"/>
      <c r="AW938" s="405"/>
      <c r="AX938" s="405"/>
      <c r="AY938" s="405"/>
      <c r="AZ938" s="405"/>
      <c r="BA938" s="405"/>
      <c r="BB938" s="405"/>
      <c r="BC938" s="405"/>
      <c r="BD938" s="405"/>
      <c r="BE938" s="405"/>
      <c r="BF938" s="405"/>
      <c r="BG938" s="405"/>
      <c r="BH938" s="405"/>
      <c r="BI938" s="405"/>
      <c r="BJ938" s="405"/>
      <c r="BK938" s="405"/>
      <c r="BL938" s="405"/>
      <c r="BM938" s="405"/>
      <c r="BN938" s="405"/>
      <c r="BO938" s="405"/>
      <c r="BP938" s="405"/>
      <c r="BQ938" s="405"/>
      <c r="BR938" s="405"/>
      <c r="BS938" s="405"/>
      <c r="BT938" s="405"/>
      <c r="BU938" s="405"/>
      <c r="BV938" s="405"/>
      <c r="BW938" s="405"/>
      <c r="BX938" s="6"/>
      <c r="BY938" s="6"/>
      <c r="BZ938" s="6"/>
      <c r="CA938" s="6"/>
      <c r="CB938" s="6"/>
      <c r="CC938" s="6"/>
      <c r="CD938" s="6"/>
      <c r="CE938" s="6"/>
      <c r="CF938" s="6"/>
      <c r="CG938" s="6"/>
    </row>
    <row r="939" spans="1:85" ht="15.75" customHeight="1">
      <c r="A939" s="553"/>
      <c r="B939" s="223"/>
      <c r="C939" s="554"/>
      <c r="D939" s="223"/>
      <c r="E939" s="505"/>
      <c r="F939" s="505"/>
      <c r="G939" s="402"/>
      <c r="H939" s="505"/>
      <c r="I939" s="555"/>
      <c r="J939" s="555"/>
      <c r="K939" s="505"/>
      <c r="L939" s="404"/>
      <c r="M939" s="405"/>
      <c r="N939" s="505"/>
      <c r="O939" s="405"/>
      <c r="P939" s="405"/>
      <c r="Q939" s="405"/>
      <c r="R939" s="405"/>
      <c r="S939" s="405"/>
      <c r="T939" s="405"/>
      <c r="U939" s="505"/>
      <c r="V939" s="505"/>
      <c r="W939" s="505"/>
      <c r="X939" s="483"/>
      <c r="Y939" s="483"/>
      <c r="Z939" s="483"/>
      <c r="AA939" s="405"/>
      <c r="AB939" s="405"/>
      <c r="AC939" s="405"/>
      <c r="AD939" s="405"/>
      <c r="AE939" s="445"/>
      <c r="AF939" s="445"/>
      <c r="AG939" s="445"/>
      <c r="AH939" s="445"/>
      <c r="AI939" s="405"/>
      <c r="AJ939" s="405"/>
      <c r="AK939" s="405"/>
      <c r="AL939" s="405"/>
      <c r="AM939" s="405"/>
      <c r="AN939" s="405"/>
      <c r="AO939" s="405"/>
      <c r="AP939" s="405"/>
      <c r="AQ939" s="405"/>
      <c r="AR939" s="405"/>
      <c r="AS939" s="405"/>
      <c r="AT939" s="405"/>
      <c r="AU939" s="405"/>
      <c r="AV939" s="405"/>
      <c r="AW939" s="405"/>
      <c r="AX939" s="405"/>
      <c r="AY939" s="405"/>
      <c r="AZ939" s="405"/>
      <c r="BA939" s="405"/>
      <c r="BB939" s="405"/>
      <c r="BC939" s="405"/>
      <c r="BD939" s="405"/>
      <c r="BE939" s="405"/>
      <c r="BF939" s="405"/>
      <c r="BG939" s="405"/>
      <c r="BH939" s="405"/>
      <c r="BI939" s="405"/>
      <c r="BJ939" s="405"/>
      <c r="BK939" s="405"/>
      <c r="BL939" s="405"/>
      <c r="BM939" s="405"/>
      <c r="BN939" s="405"/>
      <c r="BO939" s="405"/>
      <c r="BP939" s="405"/>
      <c r="BQ939" s="405"/>
      <c r="BR939" s="405"/>
      <c r="BS939" s="405"/>
      <c r="BT939" s="405"/>
      <c r="BU939" s="405"/>
      <c r="BV939" s="405"/>
      <c r="BW939" s="405"/>
      <c r="BX939" s="6"/>
      <c r="BY939" s="6"/>
      <c r="BZ939" s="6"/>
      <c r="CA939" s="6"/>
      <c r="CB939" s="6"/>
      <c r="CC939" s="6"/>
      <c r="CD939" s="6"/>
      <c r="CE939" s="6"/>
      <c r="CF939" s="6"/>
      <c r="CG939" s="6"/>
    </row>
    <row r="940" spans="1:85" ht="15.75" customHeight="1">
      <c r="A940" s="553"/>
      <c r="B940" s="223"/>
      <c r="C940" s="554"/>
      <c r="D940" s="223"/>
      <c r="E940" s="505"/>
      <c r="F940" s="505"/>
      <c r="G940" s="402"/>
      <c r="H940" s="505"/>
      <c r="I940" s="555"/>
      <c r="J940" s="555"/>
      <c r="K940" s="505"/>
      <c r="L940" s="404"/>
      <c r="M940" s="405"/>
      <c r="N940" s="505"/>
      <c r="O940" s="405"/>
      <c r="P940" s="405"/>
      <c r="Q940" s="405"/>
      <c r="R940" s="405"/>
      <c r="S940" s="405"/>
      <c r="T940" s="405"/>
      <c r="U940" s="505"/>
      <c r="V940" s="505"/>
      <c r="W940" s="505"/>
      <c r="X940" s="483"/>
      <c r="Y940" s="483"/>
      <c r="Z940" s="483"/>
      <c r="AA940" s="405"/>
      <c r="AB940" s="405"/>
      <c r="AC940" s="405"/>
      <c r="AD940" s="405"/>
      <c r="AE940" s="445"/>
      <c r="AF940" s="445"/>
      <c r="AG940" s="445"/>
      <c r="AH940" s="445"/>
      <c r="AI940" s="405"/>
      <c r="AJ940" s="405"/>
      <c r="AK940" s="405"/>
      <c r="AL940" s="405"/>
      <c r="AM940" s="405"/>
      <c r="AN940" s="405"/>
      <c r="AO940" s="405"/>
      <c r="AP940" s="405"/>
      <c r="AQ940" s="405"/>
      <c r="AR940" s="405"/>
      <c r="AS940" s="405"/>
      <c r="AT940" s="405"/>
      <c r="AU940" s="405"/>
      <c r="AV940" s="405"/>
      <c r="AW940" s="405"/>
      <c r="AX940" s="405"/>
      <c r="AY940" s="405"/>
      <c r="AZ940" s="405"/>
      <c r="BA940" s="405"/>
      <c r="BB940" s="405"/>
      <c r="BC940" s="405"/>
      <c r="BD940" s="405"/>
      <c r="BE940" s="405"/>
      <c r="BF940" s="405"/>
      <c r="BG940" s="405"/>
      <c r="BH940" s="405"/>
      <c r="BI940" s="405"/>
      <c r="BJ940" s="405"/>
      <c r="BK940" s="405"/>
      <c r="BL940" s="405"/>
      <c r="BM940" s="405"/>
      <c r="BN940" s="405"/>
      <c r="BO940" s="405"/>
      <c r="BP940" s="405"/>
      <c r="BQ940" s="405"/>
      <c r="BR940" s="405"/>
      <c r="BS940" s="405"/>
      <c r="BT940" s="405"/>
      <c r="BU940" s="405"/>
      <c r="BV940" s="405"/>
      <c r="BW940" s="405"/>
      <c r="BX940" s="6"/>
      <c r="BY940" s="6"/>
      <c r="BZ940" s="6"/>
      <c r="CA940" s="6"/>
      <c r="CB940" s="6"/>
      <c r="CC940" s="6"/>
      <c r="CD940" s="6"/>
      <c r="CE940" s="6"/>
      <c r="CF940" s="6"/>
      <c r="CG940" s="6"/>
    </row>
    <row r="941" spans="1:85" ht="15.75" customHeight="1">
      <c r="A941" s="553"/>
      <c r="B941" s="223"/>
      <c r="C941" s="554"/>
      <c r="D941" s="223"/>
      <c r="E941" s="505"/>
      <c r="F941" s="505"/>
      <c r="G941" s="402"/>
      <c r="H941" s="505"/>
      <c r="I941" s="555"/>
      <c r="J941" s="555"/>
      <c r="K941" s="505"/>
      <c r="L941" s="404"/>
      <c r="M941" s="405"/>
      <c r="N941" s="505"/>
      <c r="O941" s="405"/>
      <c r="P941" s="405"/>
      <c r="Q941" s="405"/>
      <c r="R941" s="405"/>
      <c r="S941" s="405"/>
      <c r="T941" s="405"/>
      <c r="U941" s="505"/>
      <c r="V941" s="505"/>
      <c r="W941" s="505"/>
      <c r="X941" s="483"/>
      <c r="Y941" s="483"/>
      <c r="Z941" s="483"/>
      <c r="AA941" s="405"/>
      <c r="AB941" s="405"/>
      <c r="AC941" s="405"/>
      <c r="AD941" s="405"/>
      <c r="AE941" s="445"/>
      <c r="AF941" s="445"/>
      <c r="AG941" s="445"/>
      <c r="AH941" s="445"/>
      <c r="AI941" s="405"/>
      <c r="AJ941" s="405"/>
      <c r="AK941" s="405"/>
      <c r="AL941" s="405"/>
      <c r="AM941" s="405"/>
      <c r="AN941" s="405"/>
      <c r="AO941" s="405"/>
      <c r="AP941" s="405"/>
      <c r="AQ941" s="405"/>
      <c r="AR941" s="405"/>
      <c r="AS941" s="405"/>
      <c r="AT941" s="405"/>
      <c r="AU941" s="405"/>
      <c r="AV941" s="405"/>
      <c r="AW941" s="405"/>
      <c r="AX941" s="405"/>
      <c r="AY941" s="405"/>
      <c r="AZ941" s="405"/>
      <c r="BA941" s="405"/>
      <c r="BB941" s="405"/>
      <c r="BC941" s="405"/>
      <c r="BD941" s="405"/>
      <c r="BE941" s="405"/>
      <c r="BF941" s="405"/>
      <c r="BG941" s="405"/>
      <c r="BH941" s="405"/>
      <c r="BI941" s="405"/>
      <c r="BJ941" s="405"/>
      <c r="BK941" s="405"/>
      <c r="BL941" s="405"/>
      <c r="BM941" s="405"/>
      <c r="BN941" s="405"/>
      <c r="BO941" s="405"/>
      <c r="BP941" s="405"/>
      <c r="BQ941" s="405"/>
      <c r="BR941" s="405"/>
      <c r="BS941" s="405"/>
      <c r="BT941" s="405"/>
      <c r="BU941" s="405"/>
      <c r="BV941" s="405"/>
      <c r="BW941" s="405"/>
      <c r="BX941" s="6"/>
      <c r="BY941" s="6"/>
      <c r="BZ941" s="6"/>
      <c r="CA941" s="6"/>
      <c r="CB941" s="6"/>
      <c r="CC941" s="6"/>
      <c r="CD941" s="6"/>
      <c r="CE941" s="6"/>
      <c r="CF941" s="6"/>
      <c r="CG941" s="6"/>
    </row>
    <row r="942" spans="1:85" ht="15.75" customHeight="1">
      <c r="A942" s="553"/>
      <c r="B942" s="223"/>
      <c r="C942" s="554"/>
      <c r="D942" s="223"/>
      <c r="E942" s="505"/>
      <c r="F942" s="505"/>
      <c r="G942" s="402"/>
      <c r="H942" s="505"/>
      <c r="I942" s="555"/>
      <c r="J942" s="555"/>
      <c r="K942" s="505"/>
      <c r="L942" s="404"/>
      <c r="M942" s="405"/>
      <c r="N942" s="505"/>
      <c r="O942" s="405"/>
      <c r="P942" s="405"/>
      <c r="Q942" s="405"/>
      <c r="R942" s="405"/>
      <c r="S942" s="405"/>
      <c r="T942" s="405"/>
      <c r="U942" s="505"/>
      <c r="V942" s="505"/>
      <c r="W942" s="505"/>
      <c r="X942" s="483"/>
      <c r="Y942" s="483"/>
      <c r="Z942" s="483"/>
      <c r="AA942" s="405"/>
      <c r="AB942" s="405"/>
      <c r="AC942" s="405"/>
      <c r="AD942" s="405"/>
      <c r="AE942" s="445"/>
      <c r="AF942" s="445"/>
      <c r="AG942" s="445"/>
      <c r="AH942" s="445"/>
      <c r="AI942" s="405"/>
      <c r="AJ942" s="405"/>
      <c r="AK942" s="405"/>
      <c r="AL942" s="405"/>
      <c r="AM942" s="405"/>
      <c r="AN942" s="405"/>
      <c r="AO942" s="405"/>
      <c r="AP942" s="405"/>
      <c r="AQ942" s="405"/>
      <c r="AR942" s="405"/>
      <c r="AS942" s="405"/>
      <c r="AT942" s="405"/>
      <c r="AU942" s="405"/>
      <c r="AV942" s="405"/>
      <c r="AW942" s="405"/>
      <c r="AX942" s="405"/>
      <c r="AY942" s="405"/>
      <c r="AZ942" s="405"/>
      <c r="BA942" s="405"/>
      <c r="BB942" s="405"/>
      <c r="BC942" s="405"/>
      <c r="BD942" s="405"/>
      <c r="BE942" s="405"/>
      <c r="BF942" s="405"/>
      <c r="BG942" s="405"/>
      <c r="BH942" s="405"/>
      <c r="BI942" s="405"/>
      <c r="BJ942" s="405"/>
      <c r="BK942" s="405"/>
      <c r="BL942" s="405"/>
      <c r="BM942" s="405"/>
      <c r="BN942" s="405"/>
      <c r="BO942" s="405"/>
      <c r="BP942" s="405"/>
      <c r="BQ942" s="405"/>
      <c r="BR942" s="405"/>
      <c r="BS942" s="405"/>
      <c r="BT942" s="405"/>
      <c r="BU942" s="405"/>
      <c r="BV942" s="405"/>
      <c r="BW942" s="405"/>
      <c r="BX942" s="6"/>
      <c r="BY942" s="6"/>
      <c r="BZ942" s="6"/>
      <c r="CA942" s="6"/>
      <c r="CB942" s="6"/>
      <c r="CC942" s="6"/>
      <c r="CD942" s="6"/>
      <c r="CE942" s="6"/>
      <c r="CF942" s="6"/>
      <c r="CG942" s="6"/>
    </row>
    <row r="943" spans="1:85" ht="15.75" customHeight="1">
      <c r="A943" s="553"/>
      <c r="B943" s="223"/>
      <c r="C943" s="554"/>
      <c r="D943" s="223"/>
      <c r="E943" s="505"/>
      <c r="F943" s="505"/>
      <c r="G943" s="402"/>
      <c r="H943" s="505"/>
      <c r="I943" s="555"/>
      <c r="J943" s="555"/>
      <c r="K943" s="505"/>
      <c r="L943" s="404"/>
      <c r="M943" s="405"/>
      <c r="N943" s="505"/>
      <c r="O943" s="405"/>
      <c r="P943" s="405"/>
      <c r="Q943" s="405"/>
      <c r="R943" s="405"/>
      <c r="S943" s="405"/>
      <c r="T943" s="405"/>
      <c r="U943" s="505"/>
      <c r="V943" s="505"/>
      <c r="W943" s="505"/>
      <c r="X943" s="483"/>
      <c r="Y943" s="483"/>
      <c r="Z943" s="483"/>
      <c r="AA943" s="405"/>
      <c r="AB943" s="405"/>
      <c r="AC943" s="405"/>
      <c r="AD943" s="405"/>
      <c r="AE943" s="445"/>
      <c r="AF943" s="445"/>
      <c r="AG943" s="445"/>
      <c r="AH943" s="445"/>
      <c r="AI943" s="405"/>
      <c r="AJ943" s="405"/>
      <c r="AK943" s="405"/>
      <c r="AL943" s="405"/>
      <c r="AM943" s="405"/>
      <c r="AN943" s="405"/>
      <c r="AO943" s="405"/>
      <c r="AP943" s="405"/>
      <c r="AQ943" s="405"/>
      <c r="AR943" s="405"/>
      <c r="AS943" s="405"/>
      <c r="AT943" s="405"/>
      <c r="AU943" s="405"/>
      <c r="AV943" s="405"/>
      <c r="AW943" s="405"/>
      <c r="AX943" s="405"/>
      <c r="AY943" s="405"/>
      <c r="AZ943" s="405"/>
      <c r="BA943" s="405"/>
      <c r="BB943" s="405"/>
      <c r="BC943" s="405"/>
      <c r="BD943" s="405"/>
      <c r="BE943" s="405"/>
      <c r="BF943" s="405"/>
      <c r="BG943" s="405"/>
      <c r="BH943" s="405"/>
      <c r="BI943" s="405"/>
      <c r="BJ943" s="405"/>
      <c r="BK943" s="405"/>
      <c r="BL943" s="405"/>
      <c r="BM943" s="405"/>
      <c r="BN943" s="405"/>
      <c r="BO943" s="405"/>
      <c r="BP943" s="405"/>
      <c r="BQ943" s="405"/>
      <c r="BR943" s="405"/>
      <c r="BS943" s="405"/>
      <c r="BT943" s="405"/>
      <c r="BU943" s="405"/>
      <c r="BV943" s="405"/>
      <c r="BW943" s="405"/>
      <c r="BX943" s="6"/>
      <c r="BY943" s="6"/>
      <c r="BZ943" s="6"/>
      <c r="CA943" s="6"/>
      <c r="CB943" s="6"/>
      <c r="CC943" s="6"/>
      <c r="CD943" s="6"/>
      <c r="CE943" s="6"/>
      <c r="CF943" s="6"/>
      <c r="CG943" s="6"/>
    </row>
    <row r="944" spans="1:85" ht="15.75" customHeight="1">
      <c r="A944" s="553"/>
      <c r="B944" s="223"/>
      <c r="C944" s="554"/>
      <c r="D944" s="223"/>
      <c r="E944" s="505"/>
      <c r="F944" s="505"/>
      <c r="G944" s="402"/>
      <c r="H944" s="505"/>
      <c r="I944" s="555"/>
      <c r="J944" s="555"/>
      <c r="K944" s="505"/>
      <c r="L944" s="404"/>
      <c r="M944" s="405"/>
      <c r="N944" s="505"/>
      <c r="O944" s="405"/>
      <c r="P944" s="405"/>
      <c r="Q944" s="405"/>
      <c r="R944" s="405"/>
      <c r="S944" s="405"/>
      <c r="T944" s="405"/>
      <c r="U944" s="505"/>
      <c r="V944" s="505"/>
      <c r="W944" s="505"/>
      <c r="X944" s="483"/>
      <c r="Y944" s="483"/>
      <c r="Z944" s="483"/>
      <c r="AA944" s="405"/>
      <c r="AB944" s="405"/>
      <c r="AC944" s="405"/>
      <c r="AD944" s="405"/>
      <c r="AE944" s="445"/>
      <c r="AF944" s="445"/>
      <c r="AG944" s="445"/>
      <c r="AH944" s="445"/>
      <c r="AI944" s="405"/>
      <c r="AJ944" s="405"/>
      <c r="AK944" s="405"/>
      <c r="AL944" s="405"/>
      <c r="AM944" s="405"/>
      <c r="AN944" s="405"/>
      <c r="AO944" s="405"/>
      <c r="AP944" s="405"/>
      <c r="AQ944" s="405"/>
      <c r="AR944" s="405"/>
      <c r="AS944" s="405"/>
      <c r="AT944" s="405"/>
      <c r="AU944" s="405"/>
      <c r="AV944" s="405"/>
      <c r="AW944" s="405"/>
      <c r="AX944" s="405"/>
      <c r="AY944" s="405"/>
      <c r="AZ944" s="405"/>
      <c r="BA944" s="405"/>
      <c r="BB944" s="405"/>
      <c r="BC944" s="405"/>
      <c r="BD944" s="405"/>
      <c r="BE944" s="405"/>
      <c r="BF944" s="405"/>
      <c r="BG944" s="405"/>
      <c r="BH944" s="405"/>
      <c r="BI944" s="405"/>
      <c r="BJ944" s="405"/>
      <c r="BK944" s="405"/>
      <c r="BL944" s="405"/>
      <c r="BM944" s="405"/>
      <c r="BN944" s="405"/>
      <c r="BO944" s="405"/>
      <c r="BP944" s="405"/>
      <c r="BQ944" s="405"/>
      <c r="BR944" s="405"/>
      <c r="BS944" s="405"/>
      <c r="BT944" s="405"/>
      <c r="BU944" s="405"/>
      <c r="BV944" s="405"/>
      <c r="BW944" s="405"/>
      <c r="BX944" s="6"/>
      <c r="BY944" s="6"/>
      <c r="BZ944" s="6"/>
      <c r="CA944" s="6"/>
      <c r="CB944" s="6"/>
      <c r="CC944" s="6"/>
      <c r="CD944" s="6"/>
      <c r="CE944" s="6"/>
      <c r="CF944" s="6"/>
      <c r="CG944" s="6"/>
    </row>
    <row r="945" spans="1:85" ht="15.75" customHeight="1">
      <c r="A945" s="553"/>
      <c r="B945" s="223"/>
      <c r="C945" s="554"/>
      <c r="D945" s="223"/>
      <c r="E945" s="505"/>
      <c r="F945" s="505"/>
      <c r="G945" s="402"/>
      <c r="H945" s="505"/>
      <c r="I945" s="555"/>
      <c r="J945" s="555"/>
      <c r="K945" s="505"/>
      <c r="L945" s="404"/>
      <c r="M945" s="405"/>
      <c r="N945" s="505"/>
      <c r="O945" s="405"/>
      <c r="P945" s="405"/>
      <c r="Q945" s="405"/>
      <c r="R945" s="405"/>
      <c r="S945" s="405"/>
      <c r="T945" s="405"/>
      <c r="U945" s="505"/>
      <c r="V945" s="505"/>
      <c r="W945" s="505"/>
      <c r="X945" s="483"/>
      <c r="Y945" s="483"/>
      <c r="Z945" s="483"/>
      <c r="AA945" s="405"/>
      <c r="AB945" s="405"/>
      <c r="AC945" s="405"/>
      <c r="AD945" s="405"/>
      <c r="AE945" s="445"/>
      <c r="AF945" s="445"/>
      <c r="AG945" s="445"/>
      <c r="AH945" s="445"/>
      <c r="AI945" s="405"/>
      <c r="AJ945" s="405"/>
      <c r="AK945" s="405"/>
      <c r="AL945" s="405"/>
      <c r="AM945" s="405"/>
      <c r="AN945" s="405"/>
      <c r="AO945" s="405"/>
      <c r="AP945" s="405"/>
      <c r="AQ945" s="405"/>
      <c r="AR945" s="405"/>
      <c r="AS945" s="405"/>
      <c r="AT945" s="405"/>
      <c r="AU945" s="405"/>
      <c r="AV945" s="405"/>
      <c r="AW945" s="405"/>
      <c r="AX945" s="405"/>
      <c r="AY945" s="405"/>
      <c r="AZ945" s="405"/>
      <c r="BA945" s="405"/>
      <c r="BB945" s="405"/>
      <c r="BC945" s="405"/>
      <c r="BD945" s="405"/>
      <c r="BE945" s="405"/>
      <c r="BF945" s="405"/>
      <c r="BG945" s="405"/>
      <c r="BH945" s="405"/>
      <c r="BI945" s="405"/>
      <c r="BJ945" s="405"/>
      <c r="BK945" s="405"/>
      <c r="BL945" s="405"/>
      <c r="BM945" s="405"/>
      <c r="BN945" s="405"/>
      <c r="BO945" s="405"/>
      <c r="BP945" s="405"/>
      <c r="BQ945" s="405"/>
      <c r="BR945" s="405"/>
      <c r="BS945" s="405"/>
      <c r="BT945" s="405"/>
      <c r="BU945" s="405"/>
      <c r="BV945" s="405"/>
      <c r="BW945" s="405"/>
      <c r="BX945" s="6"/>
      <c r="BY945" s="6"/>
      <c r="BZ945" s="6"/>
      <c r="CA945" s="6"/>
      <c r="CB945" s="6"/>
      <c r="CC945" s="6"/>
      <c r="CD945" s="6"/>
      <c r="CE945" s="6"/>
      <c r="CF945" s="6"/>
      <c r="CG945" s="6"/>
    </row>
    <row r="946" spans="1:85" ht="15.75" customHeight="1">
      <c r="A946" s="553"/>
      <c r="B946" s="223"/>
      <c r="C946" s="554"/>
      <c r="D946" s="223"/>
      <c r="E946" s="505"/>
      <c r="F946" s="505"/>
      <c r="G946" s="402"/>
      <c r="H946" s="505"/>
      <c r="I946" s="555"/>
      <c r="J946" s="555"/>
      <c r="K946" s="505"/>
      <c r="L946" s="404"/>
      <c r="M946" s="405"/>
      <c r="N946" s="505"/>
      <c r="O946" s="405"/>
      <c r="P946" s="405"/>
      <c r="Q946" s="405"/>
      <c r="R946" s="405"/>
      <c r="S946" s="405"/>
      <c r="T946" s="405"/>
      <c r="U946" s="505"/>
      <c r="V946" s="505"/>
      <c r="W946" s="505"/>
      <c r="X946" s="483"/>
      <c r="Y946" s="483"/>
      <c r="Z946" s="483"/>
      <c r="AA946" s="405"/>
      <c r="AB946" s="405"/>
      <c r="AC946" s="405"/>
      <c r="AD946" s="405"/>
      <c r="AE946" s="445"/>
      <c r="AF946" s="445"/>
      <c r="AG946" s="445"/>
      <c r="AH946" s="445"/>
      <c r="AI946" s="405"/>
      <c r="AJ946" s="405"/>
      <c r="AK946" s="405"/>
      <c r="AL946" s="405"/>
      <c r="AM946" s="405"/>
      <c r="AN946" s="405"/>
      <c r="AO946" s="405"/>
      <c r="AP946" s="405"/>
      <c r="AQ946" s="405"/>
      <c r="AR946" s="405"/>
      <c r="AS946" s="405"/>
      <c r="AT946" s="405"/>
      <c r="AU946" s="405"/>
      <c r="AV946" s="405"/>
      <c r="AW946" s="405"/>
      <c r="AX946" s="405"/>
      <c r="AY946" s="405"/>
      <c r="AZ946" s="405"/>
      <c r="BA946" s="405"/>
      <c r="BB946" s="405"/>
      <c r="BC946" s="405"/>
      <c r="BD946" s="405"/>
      <c r="BE946" s="405"/>
      <c r="BF946" s="405"/>
      <c r="BG946" s="405"/>
      <c r="BH946" s="405"/>
      <c r="BI946" s="405"/>
      <c r="BJ946" s="405"/>
      <c r="BK946" s="405"/>
      <c r="BL946" s="405"/>
      <c r="BM946" s="405"/>
      <c r="BN946" s="405"/>
      <c r="BO946" s="405"/>
      <c r="BP946" s="405"/>
      <c r="BQ946" s="405"/>
      <c r="BR946" s="405"/>
      <c r="BS946" s="405"/>
      <c r="BT946" s="405"/>
      <c r="BU946" s="405"/>
      <c r="BV946" s="405"/>
      <c r="BW946" s="405"/>
      <c r="BX946" s="6"/>
      <c r="BY946" s="6"/>
      <c r="BZ946" s="6"/>
      <c r="CA946" s="6"/>
      <c r="CB946" s="6"/>
      <c r="CC946" s="6"/>
      <c r="CD946" s="6"/>
      <c r="CE946" s="6"/>
      <c r="CF946" s="6"/>
      <c r="CG946" s="6"/>
    </row>
    <row r="947" spans="1:85" ht="15.75" customHeight="1">
      <c r="A947" s="553"/>
      <c r="B947" s="223"/>
      <c r="C947" s="554"/>
      <c r="D947" s="223"/>
      <c r="E947" s="505"/>
      <c r="F947" s="505"/>
      <c r="G947" s="402"/>
      <c r="H947" s="505"/>
      <c r="I947" s="555"/>
      <c r="J947" s="555"/>
      <c r="K947" s="505"/>
      <c r="L947" s="404"/>
      <c r="M947" s="405"/>
      <c r="N947" s="505"/>
      <c r="O947" s="405"/>
      <c r="P947" s="405"/>
      <c r="Q947" s="405"/>
      <c r="R947" s="405"/>
      <c r="S947" s="405"/>
      <c r="T947" s="405"/>
      <c r="U947" s="505"/>
      <c r="V947" s="505"/>
      <c r="W947" s="505"/>
      <c r="X947" s="483"/>
      <c r="Y947" s="483"/>
      <c r="Z947" s="483"/>
      <c r="AA947" s="405"/>
      <c r="AB947" s="405"/>
      <c r="AC947" s="405"/>
      <c r="AD947" s="405"/>
      <c r="AE947" s="445"/>
      <c r="AF947" s="445"/>
      <c r="AG947" s="445"/>
      <c r="AH947" s="445"/>
      <c r="AI947" s="405"/>
      <c r="AJ947" s="405"/>
      <c r="AK947" s="405"/>
      <c r="AL947" s="405"/>
      <c r="AM947" s="405"/>
      <c r="AN947" s="405"/>
      <c r="AO947" s="405"/>
      <c r="AP947" s="405"/>
      <c r="AQ947" s="405"/>
      <c r="AR947" s="405"/>
      <c r="AS947" s="405"/>
      <c r="AT947" s="405"/>
      <c r="AU947" s="405"/>
      <c r="AV947" s="405"/>
      <c r="AW947" s="405"/>
      <c r="AX947" s="405"/>
      <c r="AY947" s="405"/>
      <c r="AZ947" s="405"/>
      <c r="BA947" s="405"/>
      <c r="BB947" s="405"/>
      <c r="BC947" s="405"/>
      <c r="BD947" s="405"/>
      <c r="BE947" s="405"/>
      <c r="BF947" s="405"/>
      <c r="BG947" s="405"/>
      <c r="BH947" s="405"/>
      <c r="BI947" s="405"/>
      <c r="BJ947" s="405"/>
      <c r="BK947" s="405"/>
      <c r="BL947" s="405"/>
      <c r="BM947" s="405"/>
      <c r="BN947" s="405"/>
      <c r="BO947" s="405"/>
      <c r="BP947" s="405"/>
      <c r="BQ947" s="405"/>
      <c r="BR947" s="405"/>
      <c r="BS947" s="405"/>
      <c r="BT947" s="405"/>
      <c r="BU947" s="405"/>
      <c r="BV947" s="405"/>
      <c r="BW947" s="405"/>
      <c r="BX947" s="6"/>
      <c r="BY947" s="6"/>
      <c r="BZ947" s="6"/>
      <c r="CA947" s="6"/>
      <c r="CB947" s="6"/>
      <c r="CC947" s="6"/>
      <c r="CD947" s="6"/>
      <c r="CE947" s="6"/>
      <c r="CF947" s="6"/>
      <c r="CG947" s="6"/>
    </row>
    <row r="948" spans="1:85" ht="15.75" customHeight="1">
      <c r="A948" s="553"/>
      <c r="B948" s="223"/>
      <c r="C948" s="554"/>
      <c r="D948" s="223"/>
      <c r="E948" s="505"/>
      <c r="F948" s="505"/>
      <c r="G948" s="402"/>
      <c r="H948" s="505"/>
      <c r="I948" s="555"/>
      <c r="J948" s="555"/>
      <c r="K948" s="505"/>
      <c r="L948" s="404"/>
      <c r="M948" s="405"/>
      <c r="N948" s="505"/>
      <c r="O948" s="405"/>
      <c r="P948" s="405"/>
      <c r="Q948" s="405"/>
      <c r="R948" s="405"/>
      <c r="S948" s="405"/>
      <c r="T948" s="405"/>
      <c r="U948" s="505"/>
      <c r="V948" s="505"/>
      <c r="W948" s="505"/>
      <c r="X948" s="483"/>
      <c r="Y948" s="483"/>
      <c r="Z948" s="483"/>
      <c r="AA948" s="405"/>
      <c r="AB948" s="405"/>
      <c r="AC948" s="405"/>
      <c r="AD948" s="405"/>
      <c r="AE948" s="445"/>
      <c r="AF948" s="445"/>
      <c r="AG948" s="445"/>
      <c r="AH948" s="445"/>
      <c r="AI948" s="405"/>
      <c r="AJ948" s="405"/>
      <c r="AK948" s="405"/>
      <c r="AL948" s="405"/>
      <c r="AM948" s="405"/>
      <c r="AN948" s="405"/>
      <c r="AO948" s="405"/>
      <c r="AP948" s="405"/>
      <c r="AQ948" s="405"/>
      <c r="AR948" s="405"/>
      <c r="AS948" s="405"/>
      <c r="AT948" s="405"/>
      <c r="AU948" s="405"/>
      <c r="AV948" s="405"/>
      <c r="AW948" s="405"/>
      <c r="AX948" s="405"/>
      <c r="AY948" s="405"/>
      <c r="AZ948" s="405"/>
      <c r="BA948" s="405"/>
      <c r="BB948" s="405"/>
      <c r="BC948" s="405"/>
      <c r="BD948" s="405"/>
      <c r="BE948" s="405"/>
      <c r="BF948" s="405"/>
      <c r="BG948" s="405"/>
      <c r="BH948" s="405"/>
      <c r="BI948" s="405"/>
      <c r="BJ948" s="405"/>
      <c r="BK948" s="405"/>
      <c r="BL948" s="405"/>
      <c r="BM948" s="405"/>
      <c r="BN948" s="405"/>
      <c r="BO948" s="405"/>
      <c r="BP948" s="405"/>
      <c r="BQ948" s="405"/>
      <c r="BR948" s="405"/>
      <c r="BS948" s="405"/>
      <c r="BT948" s="405"/>
      <c r="BU948" s="405"/>
      <c r="BV948" s="405"/>
      <c r="BW948" s="405"/>
      <c r="BX948" s="6"/>
      <c r="BY948" s="6"/>
      <c r="BZ948" s="6"/>
      <c r="CA948" s="6"/>
      <c r="CB948" s="6"/>
      <c r="CC948" s="6"/>
      <c r="CD948" s="6"/>
      <c r="CE948" s="6"/>
      <c r="CF948" s="6"/>
      <c r="CG948" s="6"/>
    </row>
    <row r="949" spans="1:85" ht="15.75" customHeight="1">
      <c r="A949" s="553"/>
      <c r="B949" s="223"/>
      <c r="C949" s="554"/>
      <c r="D949" s="223"/>
      <c r="E949" s="505"/>
      <c r="F949" s="505"/>
      <c r="G949" s="402"/>
      <c r="H949" s="505"/>
      <c r="I949" s="555"/>
      <c r="J949" s="555"/>
      <c r="K949" s="505"/>
      <c r="L949" s="404"/>
      <c r="M949" s="405"/>
      <c r="N949" s="505"/>
      <c r="O949" s="405"/>
      <c r="P949" s="405"/>
      <c r="Q949" s="405"/>
      <c r="R949" s="405"/>
      <c r="S949" s="405"/>
      <c r="T949" s="405"/>
      <c r="U949" s="505"/>
      <c r="V949" s="505"/>
      <c r="W949" s="505"/>
      <c r="X949" s="483"/>
      <c r="Y949" s="483"/>
      <c r="Z949" s="483"/>
      <c r="AA949" s="405"/>
      <c r="AB949" s="405"/>
      <c r="AC949" s="405"/>
      <c r="AD949" s="405"/>
      <c r="AE949" s="445"/>
      <c r="AF949" s="445"/>
      <c r="AG949" s="445"/>
      <c r="AH949" s="445"/>
      <c r="AI949" s="405"/>
      <c r="AJ949" s="405"/>
      <c r="AK949" s="405"/>
      <c r="AL949" s="405"/>
      <c r="AM949" s="405"/>
      <c r="AN949" s="405"/>
      <c r="AO949" s="405"/>
      <c r="AP949" s="405"/>
      <c r="AQ949" s="405"/>
      <c r="AR949" s="405"/>
      <c r="AS949" s="405"/>
      <c r="AT949" s="405"/>
      <c r="AU949" s="405"/>
      <c r="AV949" s="405"/>
      <c r="AW949" s="405"/>
      <c r="AX949" s="405"/>
      <c r="AY949" s="405"/>
      <c r="AZ949" s="405"/>
      <c r="BA949" s="405"/>
      <c r="BB949" s="405"/>
      <c r="BC949" s="405"/>
      <c r="BD949" s="405"/>
      <c r="BE949" s="405"/>
      <c r="BF949" s="405"/>
      <c r="BG949" s="405"/>
      <c r="BH949" s="405"/>
      <c r="BI949" s="405"/>
      <c r="BJ949" s="405"/>
      <c r="BK949" s="405"/>
      <c r="BL949" s="405"/>
      <c r="BM949" s="405"/>
      <c r="BN949" s="405"/>
      <c r="BO949" s="405"/>
      <c r="BP949" s="405"/>
      <c r="BQ949" s="405"/>
      <c r="BR949" s="405"/>
      <c r="BS949" s="405"/>
      <c r="BT949" s="405"/>
      <c r="BU949" s="405"/>
      <c r="BV949" s="405"/>
      <c r="BW949" s="405"/>
      <c r="BX949" s="6"/>
      <c r="BY949" s="6"/>
      <c r="BZ949" s="6"/>
      <c r="CA949" s="6"/>
      <c r="CB949" s="6"/>
      <c r="CC949" s="6"/>
      <c r="CD949" s="6"/>
      <c r="CE949" s="6"/>
      <c r="CF949" s="6"/>
      <c r="CG949" s="6"/>
    </row>
    <row r="950" spans="1:85" ht="15.75" customHeight="1">
      <c r="A950" s="553"/>
      <c r="B950" s="223"/>
      <c r="C950" s="554"/>
      <c r="D950" s="223"/>
      <c r="E950" s="505"/>
      <c r="F950" s="505"/>
      <c r="G950" s="402"/>
      <c r="H950" s="505"/>
      <c r="I950" s="555"/>
      <c r="J950" s="555"/>
      <c r="K950" s="505"/>
      <c r="L950" s="404"/>
      <c r="M950" s="405"/>
      <c r="N950" s="505"/>
      <c r="O950" s="405"/>
      <c r="P950" s="405"/>
      <c r="Q950" s="405"/>
      <c r="R950" s="405"/>
      <c r="S950" s="405"/>
      <c r="T950" s="405"/>
      <c r="U950" s="505"/>
      <c r="V950" s="505"/>
      <c r="W950" s="505"/>
      <c r="X950" s="483"/>
      <c r="Y950" s="483"/>
      <c r="Z950" s="483"/>
      <c r="AA950" s="405"/>
      <c r="AB950" s="405"/>
      <c r="AC950" s="405"/>
      <c r="AD950" s="405"/>
      <c r="AE950" s="445"/>
      <c r="AF950" s="445"/>
      <c r="AG950" s="445"/>
      <c r="AH950" s="445"/>
      <c r="AI950" s="405"/>
      <c r="AJ950" s="405"/>
      <c r="AK950" s="405"/>
      <c r="AL950" s="405"/>
      <c r="AM950" s="405"/>
      <c r="AN950" s="405"/>
      <c r="AO950" s="405"/>
      <c r="AP950" s="405"/>
      <c r="AQ950" s="405"/>
      <c r="AR950" s="405"/>
      <c r="AS950" s="405"/>
      <c r="AT950" s="405"/>
      <c r="AU950" s="405"/>
      <c r="AV950" s="405"/>
      <c r="AW950" s="405"/>
      <c r="AX950" s="405"/>
      <c r="AY950" s="405"/>
      <c r="AZ950" s="405"/>
      <c r="BA950" s="405"/>
      <c r="BB950" s="405"/>
      <c r="BC950" s="405"/>
      <c r="BD950" s="405"/>
      <c r="BE950" s="405"/>
      <c r="BF950" s="405"/>
      <c r="BG950" s="405"/>
      <c r="BH950" s="405"/>
      <c r="BI950" s="405"/>
      <c r="BJ950" s="405"/>
      <c r="BK950" s="405"/>
      <c r="BL950" s="405"/>
      <c r="BM950" s="405"/>
      <c r="BN950" s="405"/>
      <c r="BO950" s="405"/>
      <c r="BP950" s="405"/>
      <c r="BQ950" s="405"/>
      <c r="BR950" s="405"/>
      <c r="BS950" s="405"/>
      <c r="BT950" s="405"/>
      <c r="BU950" s="405"/>
      <c r="BV950" s="405"/>
      <c r="BW950" s="405"/>
      <c r="BX950" s="6"/>
      <c r="BY950" s="6"/>
      <c r="BZ950" s="6"/>
      <c r="CA950" s="6"/>
      <c r="CB950" s="6"/>
      <c r="CC950" s="6"/>
      <c r="CD950" s="6"/>
      <c r="CE950" s="6"/>
      <c r="CF950" s="6"/>
      <c r="CG950" s="6"/>
    </row>
    <row r="951" spans="1:85" ht="15.75" customHeight="1">
      <c r="A951" s="553"/>
      <c r="B951" s="223"/>
      <c r="C951" s="554"/>
      <c r="D951" s="223"/>
      <c r="E951" s="505"/>
      <c r="F951" s="505"/>
      <c r="G951" s="402"/>
      <c r="H951" s="505"/>
      <c r="I951" s="555"/>
      <c r="J951" s="555"/>
      <c r="K951" s="505"/>
      <c r="L951" s="404"/>
      <c r="M951" s="405"/>
      <c r="N951" s="505"/>
      <c r="O951" s="405"/>
      <c r="P951" s="405"/>
      <c r="Q951" s="405"/>
      <c r="R951" s="405"/>
      <c r="S951" s="405"/>
      <c r="T951" s="405"/>
      <c r="U951" s="505"/>
      <c r="V951" s="505"/>
      <c r="W951" s="505"/>
      <c r="X951" s="483"/>
      <c r="Y951" s="483"/>
      <c r="Z951" s="483"/>
      <c r="AA951" s="405"/>
      <c r="AB951" s="405"/>
      <c r="AC951" s="405"/>
      <c r="AD951" s="405"/>
      <c r="AE951" s="445"/>
      <c r="AF951" s="445"/>
      <c r="AG951" s="445"/>
      <c r="AH951" s="445"/>
      <c r="AI951" s="405"/>
      <c r="AJ951" s="405"/>
      <c r="AK951" s="405"/>
      <c r="AL951" s="405"/>
      <c r="AM951" s="405"/>
      <c r="AN951" s="405"/>
      <c r="AO951" s="405"/>
      <c r="AP951" s="405"/>
      <c r="AQ951" s="405"/>
      <c r="AR951" s="405"/>
      <c r="AS951" s="405"/>
      <c r="AT951" s="405"/>
      <c r="AU951" s="405"/>
      <c r="AV951" s="405"/>
      <c r="AW951" s="405"/>
      <c r="AX951" s="405"/>
      <c r="AY951" s="405"/>
      <c r="AZ951" s="405"/>
      <c r="BA951" s="405"/>
      <c r="BB951" s="405"/>
      <c r="BC951" s="405"/>
      <c r="BD951" s="405"/>
      <c r="BE951" s="405"/>
      <c r="BF951" s="405"/>
      <c r="BG951" s="405"/>
      <c r="BH951" s="405"/>
      <c r="BI951" s="405"/>
      <c r="BJ951" s="405"/>
      <c r="BK951" s="405"/>
      <c r="BL951" s="405"/>
      <c r="BM951" s="405"/>
      <c r="BN951" s="405"/>
      <c r="BO951" s="405"/>
      <c r="BP951" s="405"/>
      <c r="BQ951" s="405"/>
      <c r="BR951" s="405"/>
      <c r="BS951" s="405"/>
      <c r="BT951" s="405"/>
      <c r="BU951" s="405"/>
      <c r="BV951" s="405"/>
      <c r="BW951" s="405"/>
      <c r="BX951" s="6"/>
      <c r="BY951" s="6"/>
      <c r="BZ951" s="6"/>
      <c r="CA951" s="6"/>
      <c r="CB951" s="6"/>
      <c r="CC951" s="6"/>
      <c r="CD951" s="6"/>
      <c r="CE951" s="6"/>
      <c r="CF951" s="6"/>
      <c r="CG951" s="6"/>
    </row>
    <row r="952" spans="1:85" ht="15.75" customHeight="1">
      <c r="A952" s="553"/>
      <c r="B952" s="223"/>
      <c r="C952" s="554"/>
      <c r="D952" s="223"/>
      <c r="E952" s="505"/>
      <c r="F952" s="505"/>
      <c r="G952" s="402"/>
      <c r="H952" s="505"/>
      <c r="I952" s="555"/>
      <c r="J952" s="555"/>
      <c r="K952" s="505"/>
      <c r="L952" s="404"/>
      <c r="M952" s="405"/>
      <c r="N952" s="505"/>
      <c r="O952" s="405"/>
      <c r="P952" s="405"/>
      <c r="Q952" s="405"/>
      <c r="R952" s="405"/>
      <c r="S952" s="405"/>
      <c r="T952" s="405"/>
      <c r="U952" s="505"/>
      <c r="V952" s="505"/>
      <c r="W952" s="505"/>
      <c r="X952" s="483"/>
      <c r="Y952" s="483"/>
      <c r="Z952" s="483"/>
      <c r="AA952" s="405"/>
      <c r="AB952" s="405"/>
      <c r="AC952" s="405"/>
      <c r="AD952" s="405"/>
      <c r="AE952" s="445"/>
      <c r="AF952" s="445"/>
      <c r="AG952" s="445"/>
      <c r="AH952" s="445"/>
      <c r="AI952" s="405"/>
      <c r="AJ952" s="405"/>
      <c r="AK952" s="405"/>
      <c r="AL952" s="405"/>
      <c r="AM952" s="405"/>
      <c r="AN952" s="405"/>
      <c r="AO952" s="405"/>
      <c r="AP952" s="405"/>
      <c r="AQ952" s="405"/>
      <c r="AR952" s="405"/>
      <c r="AS952" s="405"/>
      <c r="AT952" s="405"/>
      <c r="AU952" s="405"/>
      <c r="AV952" s="405"/>
      <c r="AW952" s="405"/>
      <c r="AX952" s="405"/>
      <c r="AY952" s="405"/>
      <c r="AZ952" s="405"/>
      <c r="BA952" s="405"/>
      <c r="BB952" s="405"/>
      <c r="BC952" s="405"/>
      <c r="BD952" s="405"/>
      <c r="BE952" s="405"/>
      <c r="BF952" s="405"/>
      <c r="BG952" s="405"/>
      <c r="BH952" s="405"/>
      <c r="BI952" s="405"/>
      <c r="BJ952" s="405"/>
      <c r="BK952" s="405"/>
      <c r="BL952" s="405"/>
      <c r="BM952" s="405"/>
      <c r="BN952" s="405"/>
      <c r="BO952" s="405"/>
      <c r="BP952" s="405"/>
      <c r="BQ952" s="405"/>
      <c r="BR952" s="405"/>
      <c r="BS952" s="405"/>
      <c r="BT952" s="405"/>
      <c r="BU952" s="405"/>
      <c r="BV952" s="405"/>
      <c r="BW952" s="405"/>
      <c r="BX952" s="6"/>
      <c r="BY952" s="6"/>
      <c r="BZ952" s="6"/>
      <c r="CA952" s="6"/>
      <c r="CB952" s="6"/>
      <c r="CC952" s="6"/>
      <c r="CD952" s="6"/>
      <c r="CE952" s="6"/>
      <c r="CF952" s="6"/>
      <c r="CG952" s="6"/>
    </row>
    <row r="953" spans="1:85" ht="15.75" customHeight="1">
      <c r="A953" s="553"/>
      <c r="B953" s="223"/>
      <c r="C953" s="554"/>
      <c r="D953" s="223"/>
      <c r="E953" s="505"/>
      <c r="F953" s="505"/>
      <c r="G953" s="402"/>
      <c r="H953" s="505"/>
      <c r="I953" s="555"/>
      <c r="J953" s="555"/>
      <c r="K953" s="505"/>
      <c r="L953" s="404"/>
      <c r="M953" s="405"/>
      <c r="N953" s="505"/>
      <c r="O953" s="405"/>
      <c r="P953" s="405"/>
      <c r="Q953" s="405"/>
      <c r="R953" s="405"/>
      <c r="S953" s="405"/>
      <c r="T953" s="405"/>
      <c r="U953" s="505"/>
      <c r="V953" s="505"/>
      <c r="W953" s="505"/>
      <c r="X953" s="483"/>
      <c r="Y953" s="483"/>
      <c r="Z953" s="483"/>
      <c r="AA953" s="405"/>
      <c r="AB953" s="405"/>
      <c r="AC953" s="405"/>
      <c r="AD953" s="405"/>
      <c r="AE953" s="445"/>
      <c r="AF953" s="445"/>
      <c r="AG953" s="445"/>
      <c r="AH953" s="445"/>
      <c r="AI953" s="405"/>
      <c r="AJ953" s="405"/>
      <c r="AK953" s="405"/>
      <c r="AL953" s="405"/>
      <c r="AM953" s="405"/>
      <c r="AN953" s="405"/>
      <c r="AO953" s="405"/>
      <c r="AP953" s="405"/>
      <c r="AQ953" s="405"/>
      <c r="AR953" s="405"/>
      <c r="AS953" s="405"/>
      <c r="AT953" s="405"/>
      <c r="AU953" s="405"/>
      <c r="AV953" s="405"/>
      <c r="AW953" s="405"/>
      <c r="AX953" s="405"/>
      <c r="AY953" s="405"/>
      <c r="AZ953" s="405"/>
      <c r="BA953" s="405"/>
      <c r="BB953" s="405"/>
      <c r="BC953" s="405"/>
      <c r="BD953" s="405"/>
      <c r="BE953" s="405"/>
      <c r="BF953" s="405"/>
      <c r="BG953" s="405"/>
      <c r="BH953" s="405"/>
      <c r="BI953" s="405"/>
      <c r="BJ953" s="405"/>
      <c r="BK953" s="405"/>
      <c r="BL953" s="405"/>
      <c r="BM953" s="405"/>
      <c r="BN953" s="405"/>
      <c r="BO953" s="405"/>
      <c r="BP953" s="405"/>
      <c r="BQ953" s="405"/>
      <c r="BR953" s="405"/>
      <c r="BS953" s="405"/>
      <c r="BT953" s="405"/>
      <c r="BU953" s="405"/>
      <c r="BV953" s="405"/>
      <c r="BW953" s="405"/>
      <c r="BX953" s="6"/>
      <c r="BY953" s="6"/>
      <c r="BZ953" s="6"/>
      <c r="CA953" s="6"/>
      <c r="CB953" s="6"/>
      <c r="CC953" s="6"/>
      <c r="CD953" s="6"/>
      <c r="CE953" s="6"/>
      <c r="CF953" s="6"/>
      <c r="CG953" s="6"/>
    </row>
    <row r="954" spans="1:85" ht="15.75" customHeight="1">
      <c r="A954" s="553"/>
      <c r="B954" s="223"/>
      <c r="C954" s="554"/>
      <c r="D954" s="223"/>
      <c r="E954" s="505"/>
      <c r="F954" s="505"/>
      <c r="G954" s="402"/>
      <c r="H954" s="505"/>
      <c r="I954" s="555"/>
      <c r="J954" s="555"/>
      <c r="K954" s="505"/>
      <c r="L954" s="404"/>
      <c r="M954" s="405"/>
      <c r="N954" s="505"/>
      <c r="O954" s="405"/>
      <c r="P954" s="405"/>
      <c r="Q954" s="405"/>
      <c r="R954" s="405"/>
      <c r="S954" s="405"/>
      <c r="T954" s="405"/>
      <c r="U954" s="505"/>
      <c r="V954" s="505"/>
      <c r="W954" s="505"/>
      <c r="X954" s="483"/>
      <c r="Y954" s="483"/>
      <c r="Z954" s="483"/>
      <c r="AA954" s="405"/>
      <c r="AB954" s="405"/>
      <c r="AC954" s="405"/>
      <c r="AD954" s="405"/>
      <c r="AE954" s="445"/>
      <c r="AF954" s="445"/>
      <c r="AG954" s="445"/>
      <c r="AH954" s="445"/>
      <c r="AI954" s="405"/>
      <c r="AJ954" s="405"/>
      <c r="AK954" s="405"/>
      <c r="AL954" s="405"/>
      <c r="AM954" s="405"/>
      <c r="AN954" s="405"/>
      <c r="AO954" s="405"/>
      <c r="AP954" s="405"/>
      <c r="AQ954" s="405"/>
      <c r="AR954" s="405"/>
      <c r="AS954" s="405"/>
      <c r="AT954" s="405"/>
      <c r="AU954" s="405"/>
      <c r="AV954" s="405"/>
      <c r="AW954" s="405"/>
      <c r="AX954" s="405"/>
      <c r="AY954" s="405"/>
      <c r="AZ954" s="405"/>
      <c r="BA954" s="405"/>
      <c r="BB954" s="405"/>
      <c r="BC954" s="405"/>
      <c r="BD954" s="405"/>
      <c r="BE954" s="405"/>
      <c r="BF954" s="405"/>
      <c r="BG954" s="405"/>
      <c r="BH954" s="405"/>
      <c r="BI954" s="405"/>
      <c r="BJ954" s="405"/>
      <c r="BK954" s="405"/>
      <c r="BL954" s="405"/>
      <c r="BM954" s="405"/>
      <c r="BN954" s="405"/>
      <c r="BO954" s="405"/>
      <c r="BP954" s="405"/>
      <c r="BQ954" s="405"/>
      <c r="BR954" s="405"/>
      <c r="BS954" s="405"/>
      <c r="BT954" s="405"/>
      <c r="BU954" s="405"/>
      <c r="BV954" s="405"/>
      <c r="BW954" s="405"/>
      <c r="BX954" s="6"/>
      <c r="BY954" s="6"/>
      <c r="BZ954" s="6"/>
      <c r="CA954" s="6"/>
      <c r="CB954" s="6"/>
      <c r="CC954" s="6"/>
      <c r="CD954" s="6"/>
      <c r="CE954" s="6"/>
      <c r="CF954" s="6"/>
      <c r="CG954" s="6"/>
    </row>
    <row r="955" spans="1:85" ht="15.75" customHeight="1">
      <c r="A955" s="553"/>
      <c r="B955" s="223"/>
      <c r="C955" s="554"/>
      <c r="D955" s="223"/>
      <c r="E955" s="505"/>
      <c r="F955" s="505"/>
      <c r="G955" s="402"/>
      <c r="H955" s="505"/>
      <c r="I955" s="555"/>
      <c r="J955" s="555"/>
      <c r="K955" s="505"/>
      <c r="L955" s="404"/>
      <c r="M955" s="405"/>
      <c r="N955" s="505"/>
      <c r="O955" s="405"/>
      <c r="P955" s="405"/>
      <c r="Q955" s="405"/>
      <c r="R955" s="405"/>
      <c r="S955" s="405"/>
      <c r="T955" s="405"/>
      <c r="U955" s="505"/>
      <c r="V955" s="505"/>
      <c r="W955" s="505"/>
      <c r="X955" s="483"/>
      <c r="Y955" s="483"/>
      <c r="Z955" s="483"/>
      <c r="AA955" s="405"/>
      <c r="AB955" s="405"/>
      <c r="AC955" s="405"/>
      <c r="AD955" s="405"/>
      <c r="AE955" s="445"/>
      <c r="AF955" s="445"/>
      <c r="AG955" s="445"/>
      <c r="AH955" s="445"/>
      <c r="AI955" s="405"/>
      <c r="AJ955" s="405"/>
      <c r="AK955" s="405"/>
      <c r="AL955" s="405"/>
      <c r="AM955" s="405"/>
      <c r="AN955" s="405"/>
      <c r="AO955" s="405"/>
      <c r="AP955" s="405"/>
      <c r="AQ955" s="405"/>
      <c r="AR955" s="405"/>
      <c r="AS955" s="405"/>
      <c r="AT955" s="405"/>
      <c r="AU955" s="405"/>
      <c r="AV955" s="405"/>
      <c r="AW955" s="405"/>
      <c r="AX955" s="405"/>
      <c r="AY955" s="405"/>
      <c r="AZ955" s="405"/>
      <c r="BA955" s="405"/>
      <c r="BB955" s="405"/>
      <c r="BC955" s="405"/>
      <c r="BD955" s="405"/>
      <c r="BE955" s="405"/>
      <c r="BF955" s="405"/>
      <c r="BG955" s="405"/>
      <c r="BH955" s="405"/>
      <c r="BI955" s="405"/>
      <c r="BJ955" s="405"/>
      <c r="BK955" s="405"/>
      <c r="BL955" s="405"/>
      <c r="BM955" s="405"/>
      <c r="BN955" s="405"/>
      <c r="BO955" s="405"/>
      <c r="BP955" s="405"/>
      <c r="BQ955" s="405"/>
      <c r="BR955" s="405"/>
      <c r="BS955" s="405"/>
      <c r="BT955" s="405"/>
      <c r="BU955" s="405"/>
      <c r="BV955" s="405"/>
      <c r="BW955" s="405"/>
      <c r="BX955" s="6"/>
      <c r="BY955" s="6"/>
      <c r="BZ955" s="6"/>
      <c r="CA955" s="6"/>
      <c r="CB955" s="6"/>
      <c r="CC955" s="6"/>
      <c r="CD955" s="6"/>
      <c r="CE955" s="6"/>
      <c r="CF955" s="6"/>
      <c r="CG955" s="6"/>
    </row>
    <row r="956" spans="1:85" ht="15.75" customHeight="1">
      <c r="A956" s="553"/>
      <c r="B956" s="223"/>
      <c r="C956" s="554"/>
      <c r="D956" s="223"/>
      <c r="E956" s="505"/>
      <c r="F956" s="505"/>
      <c r="G956" s="402"/>
      <c r="H956" s="505"/>
      <c r="I956" s="555"/>
      <c r="J956" s="555"/>
      <c r="K956" s="505"/>
      <c r="L956" s="404"/>
      <c r="M956" s="405"/>
      <c r="N956" s="505"/>
      <c r="O956" s="405"/>
      <c r="P956" s="405"/>
      <c r="Q956" s="405"/>
      <c r="R956" s="405"/>
      <c r="S956" s="405"/>
      <c r="T956" s="405"/>
      <c r="U956" s="505"/>
      <c r="V956" s="505"/>
      <c r="W956" s="505"/>
      <c r="X956" s="483"/>
      <c r="Y956" s="483"/>
      <c r="Z956" s="483"/>
      <c r="AA956" s="405"/>
      <c r="AB956" s="405"/>
      <c r="AC956" s="405"/>
      <c r="AD956" s="405"/>
      <c r="AE956" s="445"/>
      <c r="AF956" s="445"/>
      <c r="AG956" s="445"/>
      <c r="AH956" s="445"/>
      <c r="AI956" s="405"/>
      <c r="AJ956" s="405"/>
      <c r="AK956" s="405"/>
      <c r="AL956" s="405"/>
      <c r="AM956" s="405"/>
      <c r="AN956" s="405"/>
      <c r="AO956" s="405"/>
      <c r="AP956" s="405"/>
      <c r="AQ956" s="405"/>
      <c r="AR956" s="405"/>
      <c r="AS956" s="405"/>
      <c r="AT956" s="405"/>
      <c r="AU956" s="405"/>
      <c r="AV956" s="405"/>
      <c r="AW956" s="405"/>
      <c r="AX956" s="405"/>
      <c r="AY956" s="405"/>
      <c r="AZ956" s="405"/>
      <c r="BA956" s="405"/>
      <c r="BB956" s="405"/>
      <c r="BC956" s="405"/>
      <c r="BD956" s="405"/>
      <c r="BE956" s="405"/>
      <c r="BF956" s="405"/>
      <c r="BG956" s="405"/>
      <c r="BH956" s="405"/>
      <c r="BI956" s="405"/>
      <c r="BJ956" s="405"/>
      <c r="BK956" s="405"/>
      <c r="BL956" s="405"/>
      <c r="BM956" s="405"/>
      <c r="BN956" s="405"/>
      <c r="BO956" s="405"/>
      <c r="BP956" s="405"/>
      <c r="BQ956" s="405"/>
      <c r="BR956" s="405"/>
      <c r="BS956" s="405"/>
      <c r="BT956" s="405"/>
      <c r="BU956" s="405"/>
      <c r="BV956" s="405"/>
      <c r="BW956" s="405"/>
      <c r="BX956" s="6"/>
      <c r="BY956" s="6"/>
      <c r="BZ956" s="6"/>
      <c r="CA956" s="6"/>
      <c r="CB956" s="6"/>
      <c r="CC956" s="6"/>
      <c r="CD956" s="6"/>
      <c r="CE956" s="6"/>
      <c r="CF956" s="6"/>
      <c r="CG956" s="6"/>
    </row>
    <row r="957" spans="1:85" ht="15.75" customHeight="1">
      <c r="A957" s="553"/>
      <c r="B957" s="223"/>
      <c r="C957" s="554"/>
      <c r="D957" s="223"/>
      <c r="E957" s="505"/>
      <c r="F957" s="505"/>
      <c r="G957" s="402"/>
      <c r="H957" s="505"/>
      <c r="I957" s="555"/>
      <c r="J957" s="555"/>
      <c r="K957" s="505"/>
      <c r="L957" s="404"/>
      <c r="M957" s="405"/>
      <c r="N957" s="505"/>
      <c r="O957" s="405"/>
      <c r="P957" s="405"/>
      <c r="Q957" s="405"/>
      <c r="R957" s="405"/>
      <c r="S957" s="405"/>
      <c r="T957" s="405"/>
      <c r="U957" s="505"/>
      <c r="V957" s="505"/>
      <c r="W957" s="505"/>
      <c r="X957" s="483"/>
      <c r="Y957" s="483"/>
      <c r="Z957" s="483"/>
      <c r="AA957" s="405"/>
      <c r="AB957" s="405"/>
      <c r="AC957" s="405"/>
      <c r="AD957" s="405"/>
      <c r="AE957" s="445"/>
      <c r="AF957" s="445"/>
      <c r="AG957" s="445"/>
      <c r="AH957" s="445"/>
      <c r="AI957" s="405"/>
      <c r="AJ957" s="405"/>
      <c r="AK957" s="405"/>
      <c r="AL957" s="405"/>
      <c r="AM957" s="405"/>
      <c r="AN957" s="405"/>
      <c r="AO957" s="405"/>
      <c r="AP957" s="405"/>
      <c r="AQ957" s="405"/>
      <c r="AR957" s="405"/>
      <c r="AS957" s="405"/>
      <c r="AT957" s="405"/>
      <c r="AU957" s="405"/>
      <c r="AV957" s="405"/>
      <c r="AW957" s="405"/>
      <c r="AX957" s="405"/>
      <c r="AY957" s="405"/>
      <c r="AZ957" s="405"/>
      <c r="BA957" s="405"/>
      <c r="BB957" s="405"/>
      <c r="BC957" s="405"/>
      <c r="BD957" s="405"/>
      <c r="BE957" s="405"/>
      <c r="BF957" s="405"/>
      <c r="BG957" s="405"/>
      <c r="BH957" s="405"/>
      <c r="BI957" s="405"/>
      <c r="BJ957" s="405"/>
      <c r="BK957" s="405"/>
      <c r="BL957" s="405"/>
      <c r="BM957" s="405"/>
      <c r="BN957" s="405"/>
      <c r="BO957" s="405"/>
      <c r="BP957" s="405"/>
      <c r="BQ957" s="405"/>
      <c r="BR957" s="405"/>
      <c r="BS957" s="405"/>
      <c r="BT957" s="405"/>
      <c r="BU957" s="405"/>
      <c r="BV957" s="405"/>
      <c r="BW957" s="405"/>
      <c r="BX957" s="6"/>
      <c r="BY957" s="6"/>
      <c r="BZ957" s="6"/>
      <c r="CA957" s="6"/>
      <c r="CB957" s="6"/>
      <c r="CC957" s="6"/>
      <c r="CD957" s="6"/>
      <c r="CE957" s="6"/>
      <c r="CF957" s="6"/>
      <c r="CG957" s="6"/>
    </row>
    <row r="958" spans="1:85" ht="15.75" customHeight="1">
      <c r="A958" s="553"/>
      <c r="B958" s="223"/>
      <c r="C958" s="554"/>
      <c r="D958" s="223"/>
      <c r="E958" s="505"/>
      <c r="F958" s="505"/>
      <c r="G958" s="402"/>
      <c r="H958" s="505"/>
      <c r="I958" s="555"/>
      <c r="J958" s="555"/>
      <c r="K958" s="505"/>
      <c r="L958" s="404"/>
      <c r="M958" s="405"/>
      <c r="N958" s="505"/>
      <c r="O958" s="405"/>
      <c r="P958" s="405"/>
      <c r="Q958" s="405"/>
      <c r="R958" s="405"/>
      <c r="S958" s="405"/>
      <c r="T958" s="405"/>
      <c r="U958" s="505"/>
      <c r="V958" s="505"/>
      <c r="W958" s="505"/>
      <c r="X958" s="483"/>
      <c r="Y958" s="483"/>
      <c r="Z958" s="483"/>
      <c r="AA958" s="405"/>
      <c r="AB958" s="405"/>
      <c r="AC958" s="405"/>
      <c r="AD958" s="405"/>
      <c r="AE958" s="445"/>
      <c r="AF958" s="445"/>
      <c r="AG958" s="445"/>
      <c r="AH958" s="445"/>
      <c r="AI958" s="405"/>
      <c r="AJ958" s="405"/>
      <c r="AK958" s="405"/>
      <c r="AL958" s="405"/>
      <c r="AM958" s="405"/>
      <c r="AN958" s="405"/>
      <c r="AO958" s="405"/>
      <c r="AP958" s="405"/>
      <c r="AQ958" s="405"/>
      <c r="AR958" s="405"/>
      <c r="AS958" s="405"/>
      <c r="AT958" s="405"/>
      <c r="AU958" s="405"/>
      <c r="AV958" s="405"/>
      <c r="AW958" s="405"/>
      <c r="AX958" s="405"/>
      <c r="AY958" s="405"/>
      <c r="AZ958" s="405"/>
      <c r="BA958" s="405"/>
      <c r="BB958" s="405"/>
      <c r="BC958" s="405"/>
      <c r="BD958" s="405"/>
      <c r="BE958" s="405"/>
      <c r="BF958" s="405"/>
      <c r="BG958" s="405"/>
      <c r="BH958" s="405"/>
      <c r="BI958" s="405"/>
      <c r="BJ958" s="405"/>
      <c r="BK958" s="405"/>
      <c r="BL958" s="405"/>
      <c r="BM958" s="405"/>
      <c r="BN958" s="405"/>
      <c r="BO958" s="405"/>
      <c r="BP958" s="405"/>
      <c r="BQ958" s="405"/>
      <c r="BR958" s="405"/>
      <c r="BS958" s="405"/>
      <c r="BT958" s="405"/>
      <c r="BU958" s="405"/>
      <c r="BV958" s="405"/>
      <c r="BW958" s="405"/>
      <c r="BX958" s="6"/>
      <c r="BY958" s="6"/>
      <c r="BZ958" s="6"/>
      <c r="CA958" s="6"/>
      <c r="CB958" s="6"/>
      <c r="CC958" s="6"/>
      <c r="CD958" s="6"/>
      <c r="CE958" s="6"/>
      <c r="CF958" s="6"/>
      <c r="CG958" s="6"/>
    </row>
    <row r="959" spans="1:85" ht="15.75" customHeight="1">
      <c r="A959" s="553"/>
      <c r="B959" s="223"/>
      <c r="C959" s="554"/>
      <c r="D959" s="223"/>
      <c r="E959" s="505"/>
      <c r="F959" s="505"/>
      <c r="G959" s="402"/>
      <c r="H959" s="505"/>
      <c r="I959" s="555"/>
      <c r="J959" s="555"/>
      <c r="K959" s="505"/>
      <c r="L959" s="404"/>
      <c r="M959" s="405"/>
      <c r="N959" s="505"/>
      <c r="O959" s="405"/>
      <c r="P959" s="405"/>
      <c r="Q959" s="405"/>
      <c r="R959" s="405"/>
      <c r="S959" s="405"/>
      <c r="T959" s="405"/>
      <c r="U959" s="505"/>
      <c r="V959" s="505"/>
      <c r="W959" s="505"/>
      <c r="X959" s="483"/>
      <c r="Y959" s="483"/>
      <c r="Z959" s="483"/>
      <c r="AA959" s="405"/>
      <c r="AB959" s="405"/>
      <c r="AC959" s="405"/>
      <c r="AD959" s="405"/>
      <c r="AE959" s="445"/>
      <c r="AF959" s="445"/>
      <c r="AG959" s="445"/>
      <c r="AH959" s="445"/>
      <c r="AI959" s="405"/>
      <c r="AJ959" s="405"/>
      <c r="AK959" s="405"/>
      <c r="AL959" s="405"/>
      <c r="AM959" s="405"/>
      <c r="AN959" s="405"/>
      <c r="AO959" s="405"/>
      <c r="AP959" s="405"/>
      <c r="AQ959" s="405"/>
      <c r="AR959" s="405"/>
      <c r="AS959" s="405"/>
      <c r="AT959" s="405"/>
      <c r="AU959" s="405"/>
      <c r="AV959" s="405"/>
      <c r="AW959" s="405"/>
      <c r="AX959" s="405"/>
      <c r="AY959" s="405"/>
      <c r="AZ959" s="405"/>
      <c r="BA959" s="405"/>
      <c r="BB959" s="405"/>
      <c r="BC959" s="405"/>
      <c r="BD959" s="405"/>
      <c r="BE959" s="405"/>
      <c r="BF959" s="405"/>
      <c r="BG959" s="405"/>
      <c r="BH959" s="405"/>
      <c r="BI959" s="405"/>
      <c r="BJ959" s="405"/>
      <c r="BK959" s="405"/>
      <c r="BL959" s="405"/>
      <c r="BM959" s="405"/>
      <c r="BN959" s="405"/>
      <c r="BO959" s="405"/>
      <c r="BP959" s="405"/>
      <c r="BQ959" s="405"/>
      <c r="BR959" s="405"/>
      <c r="BS959" s="405"/>
      <c r="BT959" s="405"/>
      <c r="BU959" s="405"/>
      <c r="BV959" s="405"/>
      <c r="BW959" s="405"/>
      <c r="BX959" s="6"/>
      <c r="BY959" s="6"/>
      <c r="BZ959" s="6"/>
      <c r="CA959" s="6"/>
      <c r="CB959" s="6"/>
      <c r="CC959" s="6"/>
      <c r="CD959" s="6"/>
      <c r="CE959" s="6"/>
      <c r="CF959" s="6"/>
      <c r="CG959" s="6"/>
    </row>
    <row r="960" spans="1:85" ht="15.75" customHeight="1">
      <c r="A960" s="553"/>
      <c r="B960" s="223"/>
      <c r="C960" s="554"/>
      <c r="D960" s="223"/>
      <c r="E960" s="505"/>
      <c r="F960" s="505"/>
      <c r="G960" s="402"/>
      <c r="H960" s="505"/>
      <c r="I960" s="555"/>
      <c r="J960" s="555"/>
      <c r="K960" s="505"/>
      <c r="L960" s="404"/>
      <c r="M960" s="405"/>
      <c r="N960" s="505"/>
      <c r="O960" s="405"/>
      <c r="P960" s="405"/>
      <c r="Q960" s="405"/>
      <c r="R960" s="405"/>
      <c r="S960" s="405"/>
      <c r="T960" s="405"/>
      <c r="U960" s="505"/>
      <c r="V960" s="505"/>
      <c r="W960" s="505"/>
      <c r="X960" s="483"/>
      <c r="Y960" s="483"/>
      <c r="Z960" s="483"/>
      <c r="AA960" s="405"/>
      <c r="AB960" s="405"/>
      <c r="AC960" s="405"/>
      <c r="AD960" s="405"/>
      <c r="AE960" s="445"/>
      <c r="AF960" s="445"/>
      <c r="AG960" s="445"/>
      <c r="AH960" s="445"/>
      <c r="AI960" s="405"/>
      <c r="AJ960" s="405"/>
      <c r="AK960" s="405"/>
      <c r="AL960" s="405"/>
      <c r="AM960" s="405"/>
      <c r="AN960" s="405"/>
      <c r="AO960" s="405"/>
      <c r="AP960" s="405"/>
      <c r="AQ960" s="405"/>
      <c r="AR960" s="405"/>
      <c r="AS960" s="405"/>
      <c r="AT960" s="405"/>
      <c r="AU960" s="405"/>
      <c r="AV960" s="405"/>
      <c r="AW960" s="405"/>
      <c r="AX960" s="405"/>
      <c r="AY960" s="405"/>
      <c r="AZ960" s="405"/>
      <c r="BA960" s="405"/>
      <c r="BB960" s="405"/>
      <c r="BC960" s="405"/>
      <c r="BD960" s="405"/>
      <c r="BE960" s="405"/>
      <c r="BF960" s="405"/>
      <c r="BG960" s="405"/>
      <c r="BH960" s="405"/>
      <c r="BI960" s="405"/>
      <c r="BJ960" s="405"/>
      <c r="BK960" s="405"/>
      <c r="BL960" s="405"/>
      <c r="BM960" s="405"/>
      <c r="BN960" s="405"/>
      <c r="BO960" s="405"/>
      <c r="BP960" s="405"/>
      <c r="BQ960" s="405"/>
      <c r="BR960" s="405"/>
      <c r="BS960" s="405"/>
      <c r="BT960" s="405"/>
      <c r="BU960" s="405"/>
      <c r="BV960" s="405"/>
      <c r="BW960" s="405"/>
      <c r="BX960" s="6"/>
      <c r="BY960" s="6"/>
      <c r="BZ960" s="6"/>
      <c r="CA960" s="6"/>
      <c r="CB960" s="6"/>
      <c r="CC960" s="6"/>
      <c r="CD960" s="6"/>
      <c r="CE960" s="6"/>
      <c r="CF960" s="6"/>
      <c r="CG960" s="6"/>
    </row>
    <row r="961" spans="1:85" ht="15.75" customHeight="1">
      <c r="A961" s="553"/>
      <c r="B961" s="223"/>
      <c r="C961" s="554"/>
      <c r="D961" s="223"/>
      <c r="E961" s="505"/>
      <c r="F961" s="505"/>
      <c r="G961" s="402"/>
      <c r="H961" s="505"/>
      <c r="I961" s="555"/>
      <c r="J961" s="555"/>
      <c r="K961" s="505"/>
      <c r="L961" s="404"/>
      <c r="M961" s="405"/>
      <c r="N961" s="505"/>
      <c r="O961" s="405"/>
      <c r="P961" s="405"/>
      <c r="Q961" s="405"/>
      <c r="R961" s="405"/>
      <c r="S961" s="405"/>
      <c r="T961" s="405"/>
      <c r="U961" s="505"/>
      <c r="V961" s="505"/>
      <c r="W961" s="505"/>
      <c r="X961" s="483"/>
      <c r="Y961" s="483"/>
      <c r="Z961" s="483"/>
      <c r="AA961" s="405"/>
      <c r="AB961" s="405"/>
      <c r="AC961" s="405"/>
      <c r="AD961" s="405"/>
      <c r="AE961" s="445"/>
      <c r="AF961" s="445"/>
      <c r="AG961" s="445"/>
      <c r="AH961" s="445"/>
      <c r="AI961" s="405"/>
      <c r="AJ961" s="405"/>
      <c r="AK961" s="405"/>
      <c r="AL961" s="405"/>
      <c r="AM961" s="405"/>
      <c r="AN961" s="405"/>
      <c r="AO961" s="405"/>
      <c r="AP961" s="405"/>
      <c r="AQ961" s="405"/>
      <c r="AR961" s="405"/>
      <c r="AS961" s="405"/>
      <c r="AT961" s="405"/>
      <c r="AU961" s="405"/>
      <c r="AV961" s="405"/>
      <c r="AW961" s="405"/>
      <c r="AX961" s="405"/>
      <c r="AY961" s="405"/>
      <c r="AZ961" s="405"/>
      <c r="BA961" s="405"/>
      <c r="BB961" s="405"/>
      <c r="BC961" s="405"/>
      <c r="BD961" s="405"/>
      <c r="BE961" s="405"/>
      <c r="BF961" s="405"/>
      <c r="BG961" s="405"/>
      <c r="BH961" s="405"/>
      <c r="BI961" s="405"/>
      <c r="BJ961" s="405"/>
      <c r="BK961" s="405"/>
      <c r="BL961" s="405"/>
      <c r="BM961" s="405"/>
      <c r="BN961" s="405"/>
      <c r="BO961" s="405"/>
      <c r="BP961" s="405"/>
      <c r="BQ961" s="405"/>
      <c r="BR961" s="405"/>
      <c r="BS961" s="405"/>
      <c r="BT961" s="405"/>
      <c r="BU961" s="405"/>
      <c r="BV961" s="405"/>
      <c r="BW961" s="405"/>
      <c r="BX961" s="6"/>
      <c r="BY961" s="6"/>
      <c r="BZ961" s="6"/>
      <c r="CA961" s="6"/>
      <c r="CB961" s="6"/>
      <c r="CC961" s="6"/>
      <c r="CD961" s="6"/>
      <c r="CE961" s="6"/>
      <c r="CF961" s="6"/>
      <c r="CG961" s="6"/>
    </row>
    <row r="962" spans="1:85" ht="15.75" customHeight="1">
      <c r="A962" s="553"/>
      <c r="B962" s="223"/>
      <c r="C962" s="554"/>
      <c r="D962" s="223"/>
      <c r="E962" s="505"/>
      <c r="F962" s="505"/>
      <c r="G962" s="402"/>
      <c r="H962" s="505"/>
      <c r="I962" s="555"/>
      <c r="J962" s="555"/>
      <c r="K962" s="505"/>
      <c r="L962" s="404"/>
      <c r="M962" s="405"/>
      <c r="N962" s="505"/>
      <c r="O962" s="405"/>
      <c r="P962" s="405"/>
      <c r="Q962" s="405"/>
      <c r="R962" s="405"/>
      <c r="S962" s="405"/>
      <c r="T962" s="405"/>
      <c r="U962" s="505"/>
      <c r="V962" s="505"/>
      <c r="W962" s="505"/>
      <c r="X962" s="483"/>
      <c r="Y962" s="483"/>
      <c r="Z962" s="483"/>
      <c r="AA962" s="405"/>
      <c r="AB962" s="405"/>
      <c r="AC962" s="405"/>
      <c r="AD962" s="405"/>
      <c r="AE962" s="445"/>
      <c r="AF962" s="445"/>
      <c r="AG962" s="445"/>
      <c r="AH962" s="445"/>
      <c r="AI962" s="405"/>
      <c r="AJ962" s="405"/>
      <c r="AK962" s="405"/>
      <c r="AL962" s="405"/>
      <c r="AM962" s="405"/>
      <c r="AN962" s="405"/>
      <c r="AO962" s="405"/>
      <c r="AP962" s="405"/>
      <c r="AQ962" s="405"/>
      <c r="AR962" s="405"/>
      <c r="AS962" s="405"/>
      <c r="AT962" s="405"/>
      <c r="AU962" s="405"/>
      <c r="AV962" s="405"/>
      <c r="AW962" s="405"/>
      <c r="AX962" s="405"/>
      <c r="AY962" s="405"/>
      <c r="AZ962" s="405"/>
      <c r="BA962" s="405"/>
      <c r="BB962" s="405"/>
      <c r="BC962" s="405"/>
      <c r="BD962" s="405"/>
      <c r="BE962" s="405"/>
      <c r="BF962" s="405"/>
      <c r="BG962" s="405"/>
      <c r="BH962" s="405"/>
      <c r="BI962" s="405"/>
      <c r="BJ962" s="405"/>
      <c r="BK962" s="405"/>
      <c r="BL962" s="405"/>
      <c r="BM962" s="405"/>
      <c r="BN962" s="405"/>
      <c r="BO962" s="405"/>
      <c r="BP962" s="405"/>
      <c r="BQ962" s="405"/>
      <c r="BR962" s="405"/>
      <c r="BS962" s="405"/>
      <c r="BT962" s="405"/>
      <c r="BU962" s="405"/>
      <c r="BV962" s="405"/>
      <c r="BW962" s="405"/>
      <c r="BX962" s="6"/>
      <c r="BY962" s="6"/>
      <c r="BZ962" s="6"/>
      <c r="CA962" s="6"/>
      <c r="CB962" s="6"/>
      <c r="CC962" s="6"/>
      <c r="CD962" s="6"/>
      <c r="CE962" s="6"/>
      <c r="CF962" s="6"/>
      <c r="CG962" s="6"/>
    </row>
    <row r="963" spans="1:85" ht="15.75" customHeight="1">
      <c r="A963" s="553"/>
      <c r="B963" s="223"/>
      <c r="C963" s="554"/>
      <c r="D963" s="223"/>
      <c r="E963" s="505"/>
      <c r="F963" s="505"/>
      <c r="G963" s="402"/>
      <c r="H963" s="505"/>
      <c r="I963" s="555"/>
      <c r="J963" s="555"/>
      <c r="K963" s="505"/>
      <c r="L963" s="404"/>
      <c r="M963" s="405"/>
      <c r="N963" s="505"/>
      <c r="O963" s="405"/>
      <c r="P963" s="405"/>
      <c r="Q963" s="405"/>
      <c r="R963" s="405"/>
      <c r="S963" s="405"/>
      <c r="T963" s="405"/>
      <c r="U963" s="505"/>
      <c r="V963" s="505"/>
      <c r="W963" s="505"/>
      <c r="X963" s="483"/>
      <c r="Y963" s="483"/>
      <c r="Z963" s="483"/>
      <c r="AA963" s="405"/>
      <c r="AB963" s="405"/>
      <c r="AC963" s="405"/>
      <c r="AD963" s="405"/>
      <c r="AE963" s="445"/>
      <c r="AF963" s="445"/>
      <c r="AG963" s="445"/>
      <c r="AH963" s="445"/>
      <c r="AI963" s="405"/>
      <c r="AJ963" s="405"/>
      <c r="AK963" s="405"/>
      <c r="AL963" s="405"/>
      <c r="AM963" s="405"/>
      <c r="AN963" s="405"/>
      <c r="AO963" s="405"/>
      <c r="AP963" s="405"/>
      <c r="AQ963" s="405"/>
      <c r="AR963" s="405"/>
      <c r="AS963" s="405"/>
      <c r="AT963" s="405"/>
      <c r="AU963" s="405"/>
      <c r="AV963" s="405"/>
      <c r="AW963" s="405"/>
      <c r="AX963" s="405"/>
      <c r="AY963" s="405"/>
      <c r="AZ963" s="405"/>
      <c r="BA963" s="405"/>
      <c r="BB963" s="405"/>
      <c r="BC963" s="405"/>
      <c r="BD963" s="405"/>
      <c r="BE963" s="405"/>
      <c r="BF963" s="405"/>
      <c r="BG963" s="405"/>
      <c r="BH963" s="405"/>
      <c r="BI963" s="405"/>
      <c r="BJ963" s="405"/>
      <c r="BK963" s="405"/>
      <c r="BL963" s="405"/>
      <c r="BM963" s="405"/>
      <c r="BN963" s="405"/>
      <c r="BO963" s="405"/>
      <c r="BP963" s="405"/>
      <c r="BQ963" s="405"/>
      <c r="BR963" s="405"/>
      <c r="BS963" s="405"/>
      <c r="BT963" s="405"/>
      <c r="BU963" s="405"/>
      <c r="BV963" s="405"/>
      <c r="BW963" s="405"/>
      <c r="BX963" s="6"/>
      <c r="BY963" s="6"/>
      <c r="BZ963" s="6"/>
      <c r="CA963" s="6"/>
      <c r="CB963" s="6"/>
      <c r="CC963" s="6"/>
      <c r="CD963" s="6"/>
      <c r="CE963" s="6"/>
      <c r="CF963" s="6"/>
      <c r="CG963" s="6"/>
    </row>
    <row r="964" spans="1:85" ht="15.75" customHeight="1">
      <c r="A964" s="553"/>
      <c r="B964" s="223"/>
      <c r="C964" s="554"/>
      <c r="D964" s="223"/>
      <c r="E964" s="505"/>
      <c r="F964" s="505"/>
      <c r="G964" s="402"/>
      <c r="H964" s="505"/>
      <c r="I964" s="555"/>
      <c r="J964" s="555"/>
      <c r="K964" s="505"/>
      <c r="L964" s="404"/>
      <c r="M964" s="405"/>
      <c r="N964" s="505"/>
      <c r="O964" s="405"/>
      <c r="P964" s="405"/>
      <c r="Q964" s="405"/>
      <c r="R964" s="405"/>
      <c r="S964" s="405"/>
      <c r="T964" s="405"/>
      <c r="U964" s="505"/>
      <c r="V964" s="505"/>
      <c r="W964" s="505"/>
      <c r="X964" s="483"/>
      <c r="Y964" s="483"/>
      <c r="Z964" s="483"/>
      <c r="AA964" s="405"/>
      <c r="AB964" s="405"/>
      <c r="AC964" s="405"/>
      <c r="AD964" s="405"/>
      <c r="AE964" s="445"/>
      <c r="AF964" s="445"/>
      <c r="AG964" s="445"/>
      <c r="AH964" s="445"/>
      <c r="AI964" s="405"/>
      <c r="AJ964" s="405"/>
      <c r="AK964" s="405"/>
      <c r="AL964" s="405"/>
      <c r="AM964" s="405"/>
      <c r="AN964" s="405"/>
      <c r="AO964" s="405"/>
      <c r="AP964" s="405"/>
      <c r="AQ964" s="405"/>
      <c r="AR964" s="405"/>
      <c r="AS964" s="405"/>
      <c r="AT964" s="405"/>
      <c r="AU964" s="405"/>
      <c r="AV964" s="405"/>
      <c r="AW964" s="405"/>
      <c r="AX964" s="405"/>
      <c r="AY964" s="405"/>
      <c r="AZ964" s="405"/>
      <c r="BA964" s="405"/>
      <c r="BB964" s="405"/>
      <c r="BC964" s="405"/>
      <c r="BD964" s="405"/>
      <c r="BE964" s="405"/>
      <c r="BF964" s="405"/>
      <c r="BG964" s="405"/>
      <c r="BH964" s="405"/>
      <c r="BI964" s="405"/>
      <c r="BJ964" s="405"/>
      <c r="BK964" s="405"/>
      <c r="BL964" s="405"/>
      <c r="BM964" s="405"/>
      <c r="BN964" s="405"/>
      <c r="BO964" s="405"/>
      <c r="BP964" s="405"/>
      <c r="BQ964" s="405"/>
      <c r="BR964" s="405"/>
      <c r="BS964" s="405"/>
      <c r="BT964" s="405"/>
      <c r="BU964" s="405"/>
      <c r="BV964" s="405"/>
      <c r="BW964" s="405"/>
      <c r="BX964" s="6"/>
      <c r="BY964" s="6"/>
      <c r="BZ964" s="6"/>
      <c r="CA964" s="6"/>
      <c r="CB964" s="6"/>
      <c r="CC964" s="6"/>
      <c r="CD964" s="6"/>
      <c r="CE964" s="6"/>
      <c r="CF964" s="6"/>
      <c r="CG964" s="6"/>
    </row>
    <row r="965" spans="1:85" ht="15.75" customHeight="1">
      <c r="A965" s="553"/>
      <c r="B965" s="223"/>
      <c r="C965" s="554"/>
      <c r="D965" s="223"/>
      <c r="E965" s="505"/>
      <c r="F965" s="505"/>
      <c r="G965" s="402"/>
      <c r="H965" s="505"/>
      <c r="I965" s="555"/>
      <c r="J965" s="555"/>
      <c r="K965" s="505"/>
      <c r="L965" s="404"/>
      <c r="M965" s="405"/>
      <c r="N965" s="505"/>
      <c r="O965" s="405"/>
      <c r="P965" s="405"/>
      <c r="Q965" s="405"/>
      <c r="R965" s="405"/>
      <c r="S965" s="405"/>
      <c r="T965" s="405"/>
      <c r="U965" s="505"/>
      <c r="V965" s="505"/>
      <c r="W965" s="505"/>
      <c r="X965" s="483"/>
      <c r="Y965" s="483"/>
      <c r="Z965" s="483"/>
      <c r="AA965" s="405"/>
      <c r="AB965" s="405"/>
      <c r="AC965" s="405"/>
      <c r="AD965" s="405"/>
      <c r="AE965" s="445"/>
      <c r="AF965" s="445"/>
      <c r="AG965" s="445"/>
      <c r="AH965" s="445"/>
      <c r="AI965" s="405"/>
      <c r="AJ965" s="405"/>
      <c r="AK965" s="405"/>
      <c r="AL965" s="405"/>
      <c r="AM965" s="405"/>
      <c r="AN965" s="405"/>
      <c r="AO965" s="405"/>
      <c r="AP965" s="405"/>
      <c r="AQ965" s="405"/>
      <c r="AR965" s="405"/>
      <c r="AS965" s="405"/>
      <c r="AT965" s="405"/>
      <c r="AU965" s="405"/>
      <c r="AV965" s="405"/>
      <c r="AW965" s="405"/>
      <c r="AX965" s="405"/>
      <c r="AY965" s="405"/>
      <c r="AZ965" s="405"/>
      <c r="BA965" s="405"/>
      <c r="BB965" s="405"/>
      <c r="BC965" s="405"/>
      <c r="BD965" s="405"/>
      <c r="BE965" s="405"/>
      <c r="BF965" s="405"/>
      <c r="BG965" s="405"/>
      <c r="BH965" s="405"/>
      <c r="BI965" s="405"/>
      <c r="BJ965" s="405"/>
      <c r="BK965" s="405"/>
      <c r="BL965" s="405"/>
      <c r="BM965" s="405"/>
      <c r="BN965" s="405"/>
      <c r="BO965" s="405"/>
      <c r="BP965" s="405"/>
      <c r="BQ965" s="405"/>
      <c r="BR965" s="405"/>
      <c r="BS965" s="405"/>
      <c r="BT965" s="405"/>
      <c r="BU965" s="405"/>
      <c r="BV965" s="405"/>
      <c r="BW965" s="405"/>
      <c r="BX965" s="6"/>
      <c r="BY965" s="6"/>
      <c r="BZ965" s="6"/>
      <c r="CA965" s="6"/>
      <c r="CB965" s="6"/>
      <c r="CC965" s="6"/>
      <c r="CD965" s="6"/>
      <c r="CE965" s="6"/>
      <c r="CF965" s="6"/>
      <c r="CG965" s="6"/>
    </row>
    <row r="966" spans="1:85" ht="15.75" customHeight="1">
      <c r="A966" s="553"/>
      <c r="B966" s="223"/>
      <c r="C966" s="554"/>
      <c r="D966" s="223"/>
      <c r="E966" s="505"/>
      <c r="F966" s="505"/>
      <c r="G966" s="402"/>
      <c r="H966" s="505"/>
      <c r="I966" s="555"/>
      <c r="J966" s="555"/>
      <c r="K966" s="505"/>
      <c r="L966" s="404"/>
      <c r="M966" s="405"/>
      <c r="N966" s="505"/>
      <c r="O966" s="405"/>
      <c r="P966" s="405"/>
      <c r="Q966" s="405"/>
      <c r="R966" s="405"/>
      <c r="S966" s="405"/>
      <c r="T966" s="405"/>
      <c r="U966" s="505"/>
      <c r="V966" s="505"/>
      <c r="W966" s="505"/>
      <c r="X966" s="483"/>
      <c r="Y966" s="483"/>
      <c r="Z966" s="483"/>
      <c r="AA966" s="405"/>
      <c r="AB966" s="405"/>
      <c r="AC966" s="405"/>
      <c r="AD966" s="405"/>
      <c r="AE966" s="445"/>
      <c r="AF966" s="445"/>
      <c r="AG966" s="445"/>
      <c r="AH966" s="445"/>
      <c r="AI966" s="405"/>
      <c r="AJ966" s="405"/>
      <c r="AK966" s="405"/>
      <c r="AL966" s="405"/>
      <c r="AM966" s="405"/>
      <c r="AN966" s="405"/>
      <c r="AO966" s="405"/>
      <c r="AP966" s="405"/>
      <c r="AQ966" s="405"/>
      <c r="AR966" s="405"/>
      <c r="AS966" s="405"/>
      <c r="AT966" s="405"/>
      <c r="AU966" s="405"/>
      <c r="AV966" s="405"/>
      <c r="AW966" s="405"/>
      <c r="AX966" s="405"/>
      <c r="AY966" s="405"/>
      <c r="AZ966" s="405"/>
      <c r="BA966" s="405"/>
      <c r="BB966" s="405"/>
      <c r="BC966" s="405"/>
      <c r="BD966" s="405"/>
      <c r="BE966" s="405"/>
      <c r="BF966" s="405"/>
      <c r="BG966" s="405"/>
      <c r="BH966" s="405"/>
      <c r="BI966" s="405"/>
      <c r="BJ966" s="405"/>
      <c r="BK966" s="405"/>
      <c r="BL966" s="405"/>
      <c r="BM966" s="405"/>
      <c r="BN966" s="405"/>
      <c r="BO966" s="405"/>
      <c r="BP966" s="405"/>
      <c r="BQ966" s="405"/>
      <c r="BR966" s="405"/>
      <c r="BS966" s="405"/>
      <c r="BT966" s="405"/>
      <c r="BU966" s="405"/>
      <c r="BV966" s="405"/>
      <c r="BW966" s="405"/>
      <c r="BX966" s="6"/>
      <c r="BY966" s="6"/>
      <c r="BZ966" s="6"/>
      <c r="CA966" s="6"/>
      <c r="CB966" s="6"/>
      <c r="CC966" s="6"/>
      <c r="CD966" s="6"/>
      <c r="CE966" s="6"/>
      <c r="CF966" s="6"/>
      <c r="CG966" s="6"/>
    </row>
    <row r="967" spans="1:85" ht="15.75" customHeight="1">
      <c r="A967" s="553"/>
      <c r="B967" s="223"/>
      <c r="C967" s="554"/>
      <c r="D967" s="223"/>
      <c r="E967" s="505"/>
      <c r="F967" s="505"/>
      <c r="G967" s="402"/>
      <c r="H967" s="505"/>
      <c r="I967" s="555"/>
      <c r="J967" s="555"/>
      <c r="K967" s="505"/>
      <c r="L967" s="404"/>
      <c r="M967" s="405"/>
      <c r="N967" s="505"/>
      <c r="O967" s="405"/>
      <c r="P967" s="405"/>
      <c r="Q967" s="405"/>
      <c r="R967" s="405"/>
      <c r="S967" s="405"/>
      <c r="T967" s="405"/>
      <c r="U967" s="505"/>
      <c r="V967" s="505"/>
      <c r="W967" s="505"/>
      <c r="X967" s="483"/>
      <c r="Y967" s="483"/>
      <c r="Z967" s="483"/>
      <c r="AA967" s="405"/>
      <c r="AB967" s="405"/>
      <c r="AC967" s="405"/>
      <c r="AD967" s="405"/>
      <c r="AE967" s="445"/>
      <c r="AF967" s="445"/>
      <c r="AG967" s="445"/>
      <c r="AH967" s="445"/>
      <c r="AI967" s="405"/>
      <c r="AJ967" s="405"/>
      <c r="AK967" s="405"/>
      <c r="AL967" s="405"/>
      <c r="AM967" s="405"/>
      <c r="AN967" s="405"/>
      <c r="AO967" s="405"/>
      <c r="AP967" s="405"/>
      <c r="AQ967" s="405"/>
      <c r="AR967" s="405"/>
      <c r="AS967" s="405"/>
      <c r="AT967" s="405"/>
      <c r="AU967" s="405"/>
      <c r="AV967" s="405"/>
      <c r="AW967" s="405"/>
      <c r="AX967" s="405"/>
      <c r="AY967" s="405"/>
      <c r="AZ967" s="405"/>
      <c r="BA967" s="405"/>
      <c r="BB967" s="405"/>
      <c r="BC967" s="405"/>
      <c r="BD967" s="405"/>
      <c r="BE967" s="405"/>
      <c r="BF967" s="405"/>
      <c r="BG967" s="405"/>
      <c r="BH967" s="405"/>
      <c r="BI967" s="405"/>
      <c r="BJ967" s="405"/>
      <c r="BK967" s="405"/>
      <c r="BL967" s="405"/>
      <c r="BM967" s="405"/>
      <c r="BN967" s="405"/>
      <c r="BO967" s="405"/>
      <c r="BP967" s="405"/>
      <c r="BQ967" s="405"/>
      <c r="BR967" s="405"/>
      <c r="BS967" s="405"/>
      <c r="BT967" s="405"/>
      <c r="BU967" s="405"/>
      <c r="BV967" s="405"/>
      <c r="BW967" s="405"/>
      <c r="BX967" s="6"/>
      <c r="BY967" s="6"/>
      <c r="BZ967" s="6"/>
      <c r="CA967" s="6"/>
      <c r="CB967" s="6"/>
      <c r="CC967" s="6"/>
      <c r="CD967" s="6"/>
      <c r="CE967" s="6"/>
      <c r="CF967" s="6"/>
      <c r="CG967" s="6"/>
    </row>
    <row r="968" spans="1:85" ht="15.75" customHeight="1">
      <c r="A968" s="553"/>
      <c r="B968" s="223"/>
      <c r="C968" s="554"/>
      <c r="D968" s="223"/>
      <c r="E968" s="505"/>
      <c r="F968" s="505"/>
      <c r="G968" s="402"/>
      <c r="H968" s="505"/>
      <c r="I968" s="555"/>
      <c r="J968" s="555"/>
      <c r="K968" s="505"/>
      <c r="L968" s="404"/>
      <c r="M968" s="405"/>
      <c r="N968" s="505"/>
      <c r="O968" s="405"/>
      <c r="P968" s="405"/>
      <c r="Q968" s="405"/>
      <c r="R968" s="405"/>
      <c r="S968" s="405"/>
      <c r="T968" s="405"/>
      <c r="U968" s="505"/>
      <c r="V968" s="505"/>
      <c r="W968" s="505"/>
      <c r="X968" s="483"/>
      <c r="Y968" s="483"/>
      <c r="Z968" s="483"/>
      <c r="AA968" s="405"/>
      <c r="AB968" s="405"/>
      <c r="AC968" s="405"/>
      <c r="AD968" s="405"/>
      <c r="AE968" s="445"/>
      <c r="AF968" s="445"/>
      <c r="AG968" s="445"/>
      <c r="AH968" s="445"/>
      <c r="AI968" s="405"/>
      <c r="AJ968" s="405"/>
      <c r="AK968" s="405"/>
      <c r="AL968" s="405"/>
      <c r="AM968" s="405"/>
      <c r="AN968" s="405"/>
      <c r="AO968" s="405"/>
      <c r="AP968" s="405"/>
      <c r="AQ968" s="405"/>
      <c r="AR968" s="405"/>
      <c r="AS968" s="405"/>
      <c r="AT968" s="405"/>
      <c r="AU968" s="405"/>
      <c r="AV968" s="405"/>
      <c r="AW968" s="405"/>
      <c r="AX968" s="405"/>
      <c r="AY968" s="405"/>
      <c r="AZ968" s="405"/>
      <c r="BA968" s="405"/>
      <c r="BB968" s="405"/>
      <c r="BC968" s="405"/>
      <c r="BD968" s="405"/>
      <c r="BE968" s="405"/>
      <c r="BF968" s="405"/>
      <c r="BG968" s="405"/>
      <c r="BH968" s="405"/>
      <c r="BI968" s="405"/>
      <c r="BJ968" s="405"/>
      <c r="BK968" s="405"/>
      <c r="BL968" s="405"/>
      <c r="BM968" s="405"/>
      <c r="BN968" s="405"/>
      <c r="BO968" s="405"/>
      <c r="BP968" s="405"/>
      <c r="BQ968" s="405"/>
      <c r="BR968" s="405"/>
      <c r="BS968" s="405"/>
      <c r="BT968" s="405"/>
      <c r="BU968" s="405"/>
      <c r="BV968" s="405"/>
      <c r="BW968" s="405"/>
      <c r="BX968" s="6"/>
      <c r="BY968" s="6"/>
      <c r="BZ968" s="6"/>
      <c r="CA968" s="6"/>
      <c r="CB968" s="6"/>
      <c r="CC968" s="6"/>
      <c r="CD968" s="6"/>
      <c r="CE968" s="6"/>
      <c r="CF968" s="6"/>
      <c r="CG968" s="6"/>
    </row>
    <row r="969" spans="1:85" ht="15.75" customHeight="1">
      <c r="A969" s="553"/>
      <c r="B969" s="223"/>
      <c r="C969" s="554"/>
      <c r="D969" s="223"/>
      <c r="E969" s="505"/>
      <c r="F969" s="505"/>
      <c r="G969" s="402"/>
      <c r="H969" s="505"/>
      <c r="I969" s="555"/>
      <c r="J969" s="555"/>
      <c r="K969" s="505"/>
      <c r="L969" s="404"/>
      <c r="M969" s="405"/>
      <c r="N969" s="505"/>
      <c r="O969" s="405"/>
      <c r="P969" s="405"/>
      <c r="Q969" s="405"/>
      <c r="R969" s="405"/>
      <c r="S969" s="405"/>
      <c r="T969" s="405"/>
      <c r="U969" s="505"/>
      <c r="V969" s="505"/>
      <c r="W969" s="505"/>
      <c r="X969" s="483"/>
      <c r="Y969" s="483"/>
      <c r="Z969" s="483"/>
      <c r="AA969" s="405"/>
      <c r="AB969" s="405"/>
      <c r="AC969" s="405"/>
      <c r="AD969" s="405"/>
      <c r="AE969" s="445"/>
      <c r="AF969" s="445"/>
      <c r="AG969" s="445"/>
      <c r="AH969" s="445"/>
      <c r="AI969" s="405"/>
      <c r="AJ969" s="405"/>
      <c r="AK969" s="405"/>
      <c r="AL969" s="405"/>
      <c r="AM969" s="405"/>
      <c r="AN969" s="405"/>
      <c r="AO969" s="405"/>
      <c r="AP969" s="405"/>
      <c r="AQ969" s="405"/>
      <c r="AR969" s="405"/>
      <c r="AS969" s="405"/>
      <c r="AT969" s="405"/>
      <c r="AU969" s="405"/>
      <c r="AV969" s="405"/>
      <c r="AW969" s="405"/>
      <c r="AX969" s="405"/>
      <c r="AY969" s="405"/>
      <c r="AZ969" s="405"/>
      <c r="BA969" s="405"/>
      <c r="BB969" s="405"/>
      <c r="BC969" s="405"/>
      <c r="BD969" s="405"/>
      <c r="BE969" s="405"/>
      <c r="BF969" s="405"/>
      <c r="BG969" s="405"/>
      <c r="BH969" s="405"/>
      <c r="BI969" s="405"/>
      <c r="BJ969" s="405"/>
      <c r="BK969" s="405"/>
      <c r="BL969" s="405"/>
      <c r="BM969" s="405"/>
      <c r="BN969" s="405"/>
      <c r="BO969" s="405"/>
      <c r="BP969" s="405"/>
      <c r="BQ969" s="405"/>
      <c r="BR969" s="405"/>
      <c r="BS969" s="405"/>
      <c r="BT969" s="405"/>
      <c r="BU969" s="405"/>
      <c r="BV969" s="405"/>
      <c r="BW969" s="405"/>
      <c r="BX969" s="6"/>
      <c r="BY969" s="6"/>
      <c r="BZ969" s="6"/>
      <c r="CA969" s="6"/>
      <c r="CB969" s="6"/>
      <c r="CC969" s="6"/>
      <c r="CD969" s="6"/>
      <c r="CE969" s="6"/>
      <c r="CF969" s="6"/>
      <c r="CG969" s="6"/>
    </row>
    <row r="970" spans="1:85" ht="15.75" customHeight="1">
      <c r="A970" s="553"/>
      <c r="B970" s="223"/>
      <c r="C970" s="554"/>
      <c r="D970" s="223"/>
      <c r="E970" s="505"/>
      <c r="F970" s="505"/>
      <c r="G970" s="402"/>
      <c r="H970" s="505"/>
      <c r="I970" s="555"/>
      <c r="J970" s="555"/>
      <c r="K970" s="505"/>
      <c r="L970" s="404"/>
      <c r="M970" s="405"/>
      <c r="N970" s="505"/>
      <c r="O970" s="405"/>
      <c r="P970" s="405"/>
      <c r="Q970" s="405"/>
      <c r="R970" s="405"/>
      <c r="S970" s="405"/>
      <c r="T970" s="405"/>
      <c r="U970" s="505"/>
      <c r="V970" s="505"/>
      <c r="W970" s="505"/>
      <c r="X970" s="483"/>
      <c r="Y970" s="483"/>
      <c r="Z970" s="483"/>
      <c r="AA970" s="405"/>
      <c r="AB970" s="405"/>
      <c r="AC970" s="405"/>
      <c r="AD970" s="405"/>
      <c r="AE970" s="445"/>
      <c r="AF970" s="445"/>
      <c r="AG970" s="445"/>
      <c r="AH970" s="445"/>
      <c r="AI970" s="405"/>
      <c r="AJ970" s="405"/>
      <c r="AK970" s="405"/>
      <c r="AL970" s="405"/>
      <c r="AM970" s="405"/>
      <c r="AN970" s="405"/>
      <c r="AO970" s="405"/>
      <c r="AP970" s="405"/>
      <c r="AQ970" s="405"/>
      <c r="AR970" s="405"/>
      <c r="AS970" s="405"/>
      <c r="AT970" s="405"/>
      <c r="AU970" s="405"/>
      <c r="AV970" s="405"/>
      <c r="AW970" s="405"/>
      <c r="AX970" s="405"/>
      <c r="AY970" s="405"/>
      <c r="AZ970" s="405"/>
      <c r="BA970" s="405"/>
      <c r="BB970" s="405"/>
      <c r="BC970" s="405"/>
      <c r="BD970" s="405"/>
      <c r="BE970" s="405"/>
      <c r="BF970" s="405"/>
      <c r="BG970" s="405"/>
      <c r="BH970" s="405"/>
      <c r="BI970" s="405"/>
      <c r="BJ970" s="405"/>
      <c r="BK970" s="405"/>
      <c r="BL970" s="405"/>
      <c r="BM970" s="405"/>
      <c r="BN970" s="405"/>
      <c r="BO970" s="405"/>
      <c r="BP970" s="405"/>
      <c r="BQ970" s="405"/>
      <c r="BR970" s="405"/>
      <c r="BS970" s="405"/>
      <c r="BT970" s="405"/>
      <c r="BU970" s="405"/>
      <c r="BV970" s="405"/>
      <c r="BW970" s="405"/>
      <c r="BX970" s="6"/>
      <c r="BY970" s="6"/>
      <c r="BZ970" s="6"/>
      <c r="CA970" s="6"/>
      <c r="CB970" s="6"/>
      <c r="CC970" s="6"/>
      <c r="CD970" s="6"/>
      <c r="CE970" s="6"/>
      <c r="CF970" s="6"/>
      <c r="CG970" s="6"/>
    </row>
    <row r="971" spans="1:85" ht="15.75" customHeight="1">
      <c r="A971" s="553"/>
      <c r="B971" s="223"/>
      <c r="C971" s="554"/>
      <c r="D971" s="223"/>
      <c r="E971" s="505"/>
      <c r="F971" s="505"/>
      <c r="G971" s="402"/>
      <c r="H971" s="505"/>
      <c r="I971" s="555"/>
      <c r="J971" s="555"/>
      <c r="K971" s="505"/>
      <c r="L971" s="404"/>
      <c r="M971" s="405"/>
      <c r="N971" s="505"/>
      <c r="O971" s="405"/>
      <c r="P971" s="405"/>
      <c r="Q971" s="405"/>
      <c r="R971" s="405"/>
      <c r="S971" s="405"/>
      <c r="T971" s="405"/>
      <c r="U971" s="505"/>
      <c r="V971" s="505"/>
      <c r="W971" s="505"/>
      <c r="X971" s="483"/>
      <c r="Y971" s="483"/>
      <c r="Z971" s="483"/>
      <c r="AA971" s="405"/>
      <c r="AB971" s="405"/>
      <c r="AC971" s="405"/>
      <c r="AD971" s="405"/>
      <c r="AE971" s="445"/>
      <c r="AF971" s="445"/>
      <c r="AG971" s="445"/>
      <c r="AH971" s="445"/>
      <c r="AI971" s="405"/>
      <c r="AJ971" s="405"/>
      <c r="AK971" s="405"/>
      <c r="AL971" s="405"/>
      <c r="AM971" s="405"/>
      <c r="AN971" s="405"/>
      <c r="AO971" s="405"/>
      <c r="AP971" s="405"/>
      <c r="AQ971" s="405"/>
      <c r="AR971" s="405"/>
      <c r="AS971" s="405"/>
      <c r="AT971" s="405"/>
      <c r="AU971" s="405"/>
      <c r="AV971" s="405"/>
      <c r="AW971" s="405"/>
      <c r="AX971" s="405"/>
      <c r="AY971" s="405"/>
      <c r="AZ971" s="405"/>
      <c r="BA971" s="405"/>
      <c r="BB971" s="405"/>
      <c r="BC971" s="405"/>
      <c r="BD971" s="405"/>
      <c r="BE971" s="405"/>
      <c r="BF971" s="405"/>
      <c r="BG971" s="405"/>
      <c r="BH971" s="405"/>
      <c r="BI971" s="405"/>
      <c r="BJ971" s="405"/>
      <c r="BK971" s="405"/>
      <c r="BL971" s="405"/>
      <c r="BM971" s="405"/>
      <c r="BN971" s="405"/>
      <c r="BO971" s="405"/>
      <c r="BP971" s="405"/>
      <c r="BQ971" s="405"/>
      <c r="BR971" s="405"/>
      <c r="BS971" s="405"/>
      <c r="BT971" s="405"/>
      <c r="BU971" s="405"/>
      <c r="BV971" s="405"/>
      <c r="BW971" s="405"/>
      <c r="BX971" s="6"/>
      <c r="BY971" s="6"/>
      <c r="BZ971" s="6"/>
      <c r="CA971" s="6"/>
      <c r="CB971" s="6"/>
      <c r="CC971" s="6"/>
      <c r="CD971" s="6"/>
      <c r="CE971" s="6"/>
      <c r="CF971" s="6"/>
      <c r="CG971" s="6"/>
    </row>
    <row r="972" spans="1:85" ht="15.75" customHeight="1">
      <c r="A972" s="553"/>
      <c r="B972" s="223"/>
      <c r="C972" s="554"/>
      <c r="D972" s="223"/>
      <c r="E972" s="505"/>
      <c r="F972" s="505"/>
      <c r="G972" s="402"/>
      <c r="H972" s="505"/>
      <c r="I972" s="555"/>
      <c r="J972" s="555"/>
      <c r="K972" s="505"/>
      <c r="L972" s="404"/>
      <c r="M972" s="405"/>
      <c r="N972" s="505"/>
      <c r="O972" s="405"/>
      <c r="P972" s="405"/>
      <c r="Q972" s="405"/>
      <c r="R972" s="405"/>
      <c r="S972" s="405"/>
      <c r="T972" s="405"/>
      <c r="U972" s="505"/>
      <c r="V972" s="505"/>
      <c r="W972" s="505"/>
      <c r="X972" s="483"/>
      <c r="Y972" s="483"/>
      <c r="Z972" s="483"/>
      <c r="AA972" s="405"/>
      <c r="AB972" s="405"/>
      <c r="AC972" s="405"/>
      <c r="AD972" s="405"/>
      <c r="AE972" s="445"/>
      <c r="AF972" s="445"/>
      <c r="AG972" s="445"/>
      <c r="AH972" s="445"/>
      <c r="AI972" s="405"/>
      <c r="AJ972" s="405"/>
      <c r="AK972" s="405"/>
      <c r="AL972" s="405"/>
      <c r="AM972" s="405"/>
      <c r="AN972" s="405"/>
      <c r="AO972" s="405"/>
      <c r="AP972" s="405"/>
      <c r="AQ972" s="405"/>
      <c r="AR972" s="405"/>
      <c r="AS972" s="405"/>
      <c r="AT972" s="405"/>
      <c r="AU972" s="405"/>
      <c r="AV972" s="405"/>
      <c r="AW972" s="405"/>
      <c r="AX972" s="405"/>
      <c r="AY972" s="405"/>
      <c r="AZ972" s="405"/>
      <c r="BA972" s="405"/>
      <c r="BB972" s="405"/>
      <c r="BC972" s="405"/>
      <c r="BD972" s="405"/>
      <c r="BE972" s="405"/>
      <c r="BF972" s="405"/>
      <c r="BG972" s="405"/>
      <c r="BH972" s="405"/>
      <c r="BI972" s="405"/>
      <c r="BJ972" s="405"/>
      <c r="BK972" s="405"/>
      <c r="BL972" s="405"/>
      <c r="BM972" s="405"/>
      <c r="BN972" s="405"/>
      <c r="BO972" s="405"/>
      <c r="BP972" s="405"/>
      <c r="BQ972" s="405"/>
      <c r="BR972" s="405"/>
      <c r="BS972" s="405"/>
      <c r="BT972" s="405"/>
      <c r="BU972" s="405"/>
      <c r="BV972" s="405"/>
      <c r="BW972" s="405"/>
      <c r="BX972" s="6"/>
      <c r="BY972" s="6"/>
      <c r="BZ972" s="6"/>
      <c r="CA972" s="6"/>
      <c r="CB972" s="6"/>
      <c r="CC972" s="6"/>
      <c r="CD972" s="6"/>
      <c r="CE972" s="6"/>
      <c r="CF972" s="6"/>
      <c r="CG972" s="6"/>
    </row>
    <row r="973" spans="1:85" ht="15.75" customHeight="1">
      <c r="A973" s="553"/>
      <c r="B973" s="223"/>
      <c r="C973" s="554"/>
      <c r="D973" s="223"/>
      <c r="E973" s="505"/>
      <c r="F973" s="505"/>
      <c r="G973" s="402"/>
      <c r="H973" s="505"/>
      <c r="I973" s="555"/>
      <c r="J973" s="555"/>
      <c r="K973" s="505"/>
      <c r="L973" s="404"/>
      <c r="M973" s="405"/>
      <c r="N973" s="505"/>
      <c r="O973" s="405"/>
      <c r="P973" s="405"/>
      <c r="Q973" s="405"/>
      <c r="R973" s="405"/>
      <c r="S973" s="405"/>
      <c r="T973" s="405"/>
      <c r="U973" s="505"/>
      <c r="V973" s="505"/>
      <c r="W973" s="505"/>
      <c r="X973" s="483"/>
      <c r="Y973" s="483"/>
      <c r="Z973" s="483"/>
      <c r="AA973" s="405"/>
      <c r="AB973" s="405"/>
      <c r="AC973" s="405"/>
      <c r="AD973" s="405"/>
      <c r="AE973" s="445"/>
      <c r="AF973" s="445"/>
      <c r="AG973" s="445"/>
      <c r="AH973" s="445"/>
      <c r="AI973" s="405"/>
      <c r="AJ973" s="405"/>
      <c r="AK973" s="405"/>
      <c r="AL973" s="405"/>
      <c r="AM973" s="405"/>
      <c r="AN973" s="405"/>
      <c r="AO973" s="405"/>
      <c r="AP973" s="405"/>
      <c r="AQ973" s="405"/>
      <c r="AR973" s="405"/>
      <c r="AS973" s="405"/>
      <c r="AT973" s="405"/>
      <c r="AU973" s="405"/>
      <c r="AV973" s="405"/>
      <c r="AW973" s="405"/>
      <c r="AX973" s="405"/>
      <c r="AY973" s="405"/>
      <c r="AZ973" s="405"/>
      <c r="BA973" s="405"/>
      <c r="BB973" s="405"/>
      <c r="BC973" s="405"/>
      <c r="BD973" s="405"/>
      <c r="BE973" s="405"/>
      <c r="BF973" s="405"/>
      <c r="BG973" s="405"/>
      <c r="BH973" s="405"/>
      <c r="BI973" s="405"/>
      <c r="BJ973" s="405"/>
      <c r="BK973" s="405"/>
      <c r="BL973" s="405"/>
      <c r="BM973" s="405"/>
      <c r="BN973" s="405"/>
      <c r="BO973" s="405"/>
      <c r="BP973" s="405"/>
      <c r="BQ973" s="405"/>
      <c r="BR973" s="405"/>
      <c r="BS973" s="405"/>
      <c r="BT973" s="405"/>
      <c r="BU973" s="405"/>
      <c r="BV973" s="405"/>
      <c r="BW973" s="405"/>
      <c r="BX973" s="6"/>
      <c r="BY973" s="6"/>
      <c r="BZ973" s="6"/>
      <c r="CA973" s="6"/>
      <c r="CB973" s="6"/>
      <c r="CC973" s="6"/>
      <c r="CD973" s="6"/>
      <c r="CE973" s="6"/>
      <c r="CF973" s="6"/>
      <c r="CG973" s="6"/>
    </row>
    <row r="974" spans="1:85" ht="15.75" customHeight="1">
      <c r="A974" s="553"/>
      <c r="B974" s="223"/>
      <c r="C974" s="554"/>
      <c r="D974" s="223"/>
      <c r="E974" s="505"/>
      <c r="F974" s="505"/>
      <c r="G974" s="402"/>
      <c r="H974" s="505"/>
      <c r="I974" s="555"/>
      <c r="J974" s="555"/>
      <c r="K974" s="505"/>
      <c r="L974" s="404"/>
      <c r="M974" s="405"/>
      <c r="N974" s="505"/>
      <c r="O974" s="405"/>
      <c r="P974" s="405"/>
      <c r="Q974" s="405"/>
      <c r="R974" s="405"/>
      <c r="S974" s="405"/>
      <c r="T974" s="405"/>
      <c r="U974" s="505"/>
      <c r="V974" s="505"/>
      <c r="W974" s="505"/>
      <c r="X974" s="483"/>
      <c r="Y974" s="483"/>
      <c r="Z974" s="483"/>
      <c r="AA974" s="405"/>
      <c r="AB974" s="405"/>
      <c r="AC974" s="405"/>
      <c r="AD974" s="405"/>
      <c r="AE974" s="445"/>
      <c r="AF974" s="445"/>
      <c r="AG974" s="445"/>
      <c r="AH974" s="445"/>
      <c r="AI974" s="405"/>
      <c r="AJ974" s="405"/>
      <c r="AK974" s="405"/>
      <c r="AL974" s="405"/>
      <c r="AM974" s="405"/>
      <c r="AN974" s="405"/>
      <c r="AO974" s="405"/>
      <c r="AP974" s="405"/>
      <c r="AQ974" s="405"/>
      <c r="AR974" s="405"/>
      <c r="AS974" s="405"/>
      <c r="AT974" s="405"/>
      <c r="AU974" s="405"/>
      <c r="AV974" s="405"/>
      <c r="AW974" s="405"/>
      <c r="AX974" s="405"/>
      <c r="AY974" s="405"/>
      <c r="AZ974" s="405"/>
      <c r="BA974" s="405"/>
      <c r="BB974" s="405"/>
      <c r="BC974" s="405"/>
      <c r="BD974" s="405"/>
      <c r="BE974" s="405"/>
      <c r="BF974" s="405"/>
      <c r="BG974" s="405"/>
      <c r="BH974" s="405"/>
      <c r="BI974" s="405"/>
      <c r="BJ974" s="405"/>
      <c r="BK974" s="405"/>
      <c r="BL974" s="405"/>
      <c r="BM974" s="405"/>
      <c r="BN974" s="405"/>
      <c r="BO974" s="405"/>
      <c r="BP974" s="405"/>
      <c r="BQ974" s="405"/>
      <c r="BR974" s="405"/>
      <c r="BS974" s="405"/>
      <c r="BT974" s="405"/>
      <c r="BU974" s="405"/>
      <c r="BV974" s="405"/>
      <c r="BW974" s="405"/>
      <c r="BX974" s="6"/>
      <c r="BY974" s="6"/>
      <c r="BZ974" s="6"/>
      <c r="CA974" s="6"/>
      <c r="CB974" s="6"/>
      <c r="CC974" s="6"/>
      <c r="CD974" s="6"/>
      <c r="CE974" s="6"/>
      <c r="CF974" s="6"/>
      <c r="CG974" s="6"/>
    </row>
    <row r="975" spans="1:85" ht="15.75" customHeight="1">
      <c r="A975" s="553"/>
      <c r="B975" s="223"/>
      <c r="C975" s="554"/>
      <c r="D975" s="223"/>
      <c r="E975" s="505"/>
      <c r="F975" s="505"/>
      <c r="G975" s="402"/>
      <c r="H975" s="505"/>
      <c r="I975" s="555"/>
      <c r="J975" s="555"/>
      <c r="K975" s="505"/>
      <c r="L975" s="404"/>
      <c r="M975" s="405"/>
      <c r="N975" s="505"/>
      <c r="O975" s="405"/>
      <c r="P975" s="405"/>
      <c r="Q975" s="405"/>
      <c r="R975" s="405"/>
      <c r="S975" s="405"/>
      <c r="T975" s="405"/>
      <c r="U975" s="505"/>
      <c r="V975" s="505"/>
      <c r="W975" s="505"/>
      <c r="X975" s="483"/>
      <c r="Y975" s="483"/>
      <c r="Z975" s="483"/>
      <c r="AA975" s="405"/>
      <c r="AB975" s="405"/>
      <c r="AC975" s="405"/>
      <c r="AD975" s="405"/>
      <c r="AE975" s="445"/>
      <c r="AF975" s="445"/>
      <c r="AG975" s="445"/>
      <c r="AH975" s="445"/>
      <c r="AI975" s="405"/>
      <c r="AJ975" s="405"/>
      <c r="AK975" s="405"/>
      <c r="AL975" s="405"/>
      <c r="AM975" s="405"/>
      <c r="AN975" s="405"/>
      <c r="AO975" s="405"/>
      <c r="AP975" s="405"/>
      <c r="AQ975" s="405"/>
      <c r="AR975" s="405"/>
      <c r="AS975" s="405"/>
      <c r="AT975" s="405"/>
      <c r="AU975" s="405"/>
      <c r="AV975" s="405"/>
      <c r="AW975" s="405"/>
      <c r="AX975" s="405"/>
      <c r="AY975" s="405"/>
      <c r="AZ975" s="405"/>
      <c r="BA975" s="405"/>
      <c r="BB975" s="405"/>
      <c r="BC975" s="405"/>
      <c r="BD975" s="405"/>
      <c r="BE975" s="405"/>
      <c r="BF975" s="405"/>
      <c r="BG975" s="405"/>
      <c r="BH975" s="405"/>
      <c r="BI975" s="405"/>
      <c r="BJ975" s="405"/>
      <c r="BK975" s="405"/>
      <c r="BL975" s="405"/>
      <c r="BM975" s="405"/>
      <c r="BN975" s="405"/>
      <c r="BO975" s="405"/>
      <c r="BP975" s="405"/>
      <c r="BQ975" s="405"/>
      <c r="BR975" s="405"/>
      <c r="BS975" s="405"/>
      <c r="BT975" s="405"/>
      <c r="BU975" s="405"/>
      <c r="BV975" s="405"/>
      <c r="BW975" s="405"/>
      <c r="BX975" s="6"/>
      <c r="BY975" s="6"/>
      <c r="BZ975" s="6"/>
      <c r="CA975" s="6"/>
      <c r="CB975" s="6"/>
      <c r="CC975" s="6"/>
      <c r="CD975" s="6"/>
      <c r="CE975" s="6"/>
      <c r="CF975" s="6"/>
      <c r="CG975" s="6"/>
    </row>
    <row r="976" spans="1:85" ht="15.75" customHeight="1">
      <c r="A976" s="553"/>
      <c r="B976" s="223"/>
      <c r="C976" s="554"/>
      <c r="D976" s="223"/>
      <c r="E976" s="505"/>
      <c r="F976" s="505"/>
      <c r="G976" s="402"/>
      <c r="H976" s="505"/>
      <c r="I976" s="555"/>
      <c r="J976" s="555"/>
      <c r="K976" s="505"/>
      <c r="L976" s="404"/>
      <c r="M976" s="405"/>
      <c r="N976" s="505"/>
      <c r="O976" s="405"/>
      <c r="P976" s="405"/>
      <c r="Q976" s="405"/>
      <c r="R976" s="405"/>
      <c r="S976" s="405"/>
      <c r="T976" s="405"/>
      <c r="U976" s="505"/>
      <c r="V976" s="505"/>
      <c r="W976" s="505"/>
      <c r="X976" s="483"/>
      <c r="Y976" s="483"/>
      <c r="Z976" s="483"/>
      <c r="AA976" s="405"/>
      <c r="AB976" s="405"/>
      <c r="AC976" s="405"/>
      <c r="AD976" s="405"/>
      <c r="AE976" s="445"/>
      <c r="AF976" s="445"/>
      <c r="AG976" s="445"/>
      <c r="AH976" s="445"/>
      <c r="AI976" s="405"/>
      <c r="AJ976" s="405"/>
      <c r="AK976" s="405"/>
      <c r="AL976" s="405"/>
      <c r="AM976" s="405"/>
      <c r="AN976" s="405"/>
      <c r="AO976" s="405"/>
      <c r="AP976" s="405"/>
      <c r="AQ976" s="405"/>
      <c r="AR976" s="405"/>
      <c r="AS976" s="405"/>
      <c r="AT976" s="405"/>
      <c r="AU976" s="405"/>
      <c r="AV976" s="405"/>
      <c r="AW976" s="405"/>
      <c r="AX976" s="405"/>
      <c r="AY976" s="405"/>
      <c r="AZ976" s="405"/>
      <c r="BA976" s="405"/>
      <c r="BB976" s="405"/>
      <c r="BC976" s="405"/>
      <c r="BD976" s="405"/>
      <c r="BE976" s="405"/>
      <c r="BF976" s="405"/>
      <c r="BG976" s="405"/>
      <c r="BH976" s="405"/>
      <c r="BI976" s="405"/>
      <c r="BJ976" s="405"/>
      <c r="BK976" s="405"/>
      <c r="BL976" s="405"/>
      <c r="BM976" s="405"/>
      <c r="BN976" s="405"/>
      <c r="BO976" s="405"/>
      <c r="BP976" s="405"/>
      <c r="BQ976" s="405"/>
      <c r="BR976" s="405"/>
      <c r="BS976" s="405"/>
      <c r="BT976" s="405"/>
      <c r="BU976" s="405"/>
      <c r="BV976" s="405"/>
      <c r="BW976" s="405"/>
      <c r="BX976" s="6"/>
      <c r="BY976" s="6"/>
      <c r="BZ976" s="6"/>
      <c r="CA976" s="6"/>
      <c r="CB976" s="6"/>
      <c r="CC976" s="6"/>
      <c r="CD976" s="6"/>
      <c r="CE976" s="6"/>
      <c r="CF976" s="6"/>
      <c r="CG976" s="6"/>
    </row>
    <row r="977" spans="1:85" ht="15.75" customHeight="1">
      <c r="A977" s="553"/>
      <c r="B977" s="223"/>
      <c r="C977" s="554"/>
      <c r="D977" s="223"/>
      <c r="E977" s="505"/>
      <c r="F977" s="505"/>
      <c r="G977" s="402"/>
      <c r="H977" s="505"/>
      <c r="I977" s="555"/>
      <c r="J977" s="555"/>
      <c r="K977" s="505"/>
      <c r="L977" s="404"/>
      <c r="M977" s="405"/>
      <c r="N977" s="505"/>
      <c r="O977" s="405"/>
      <c r="P977" s="405"/>
      <c r="Q977" s="405"/>
      <c r="R977" s="405"/>
      <c r="S977" s="405"/>
      <c r="T977" s="405"/>
      <c r="U977" s="505"/>
      <c r="V977" s="505"/>
      <c r="W977" s="505"/>
      <c r="X977" s="483"/>
      <c r="Y977" s="483"/>
      <c r="Z977" s="483"/>
      <c r="AA977" s="405"/>
      <c r="AB977" s="405"/>
      <c r="AC977" s="405"/>
      <c r="AD977" s="405"/>
      <c r="AE977" s="445"/>
      <c r="AF977" s="445"/>
      <c r="AG977" s="445"/>
      <c r="AH977" s="445"/>
      <c r="AI977" s="405"/>
      <c r="AJ977" s="405"/>
      <c r="AK977" s="405"/>
      <c r="AL977" s="405"/>
      <c r="AM977" s="405"/>
      <c r="AN977" s="405"/>
      <c r="AO977" s="405"/>
      <c r="AP977" s="405"/>
      <c r="AQ977" s="405"/>
      <c r="AR977" s="405"/>
      <c r="AS977" s="405"/>
      <c r="AT977" s="405"/>
      <c r="AU977" s="405"/>
      <c r="AV977" s="405"/>
      <c r="AW977" s="405"/>
      <c r="AX977" s="405"/>
      <c r="AY977" s="405"/>
      <c r="AZ977" s="405"/>
      <c r="BA977" s="405"/>
      <c r="BB977" s="405"/>
      <c r="BC977" s="405"/>
      <c r="BD977" s="405"/>
      <c r="BE977" s="405"/>
      <c r="BF977" s="405"/>
      <c r="BG977" s="405"/>
      <c r="BH977" s="405"/>
      <c r="BI977" s="405"/>
      <c r="BJ977" s="405"/>
      <c r="BK977" s="405"/>
      <c r="BL977" s="405"/>
      <c r="BM977" s="405"/>
      <c r="BN977" s="405"/>
      <c r="BO977" s="405"/>
      <c r="BP977" s="405"/>
      <c r="BQ977" s="405"/>
      <c r="BR977" s="405"/>
      <c r="BS977" s="405"/>
      <c r="BT977" s="405"/>
      <c r="BU977" s="405"/>
      <c r="BV977" s="405"/>
      <c r="BW977" s="405"/>
      <c r="BX977" s="6"/>
      <c r="BY977" s="6"/>
      <c r="BZ977" s="6"/>
      <c r="CA977" s="6"/>
      <c r="CB977" s="6"/>
      <c r="CC977" s="6"/>
      <c r="CD977" s="6"/>
      <c r="CE977" s="6"/>
      <c r="CF977" s="6"/>
      <c r="CG977" s="6"/>
    </row>
    <row r="978" spans="1:85" ht="15.75" customHeight="1">
      <c r="A978" s="553"/>
      <c r="B978" s="223"/>
      <c r="C978" s="554"/>
      <c r="D978" s="223"/>
      <c r="E978" s="505"/>
      <c r="F978" s="505"/>
      <c r="G978" s="402"/>
      <c r="H978" s="505"/>
      <c r="I978" s="555"/>
      <c r="J978" s="555"/>
      <c r="K978" s="505"/>
      <c r="L978" s="404"/>
      <c r="M978" s="405"/>
      <c r="N978" s="505"/>
      <c r="O978" s="405"/>
      <c r="P978" s="405"/>
      <c r="Q978" s="405"/>
      <c r="R978" s="405"/>
      <c r="S978" s="405"/>
      <c r="T978" s="405"/>
      <c r="U978" s="505"/>
      <c r="V978" s="505"/>
      <c r="W978" s="505"/>
      <c r="X978" s="483"/>
      <c r="Y978" s="483"/>
      <c r="Z978" s="483"/>
      <c r="AA978" s="405"/>
      <c r="AB978" s="405"/>
      <c r="AC978" s="405"/>
      <c r="AD978" s="405"/>
      <c r="AE978" s="445"/>
      <c r="AF978" s="445"/>
      <c r="AG978" s="445"/>
      <c r="AH978" s="445"/>
      <c r="AI978" s="405"/>
      <c r="AJ978" s="405"/>
      <c r="AK978" s="405"/>
      <c r="AL978" s="405"/>
      <c r="AM978" s="405"/>
      <c r="AN978" s="405"/>
      <c r="AO978" s="405"/>
      <c r="AP978" s="405"/>
      <c r="AQ978" s="405"/>
      <c r="AR978" s="405"/>
      <c r="AS978" s="405"/>
      <c r="AT978" s="405"/>
      <c r="AU978" s="405"/>
      <c r="AV978" s="405"/>
      <c r="AW978" s="405"/>
      <c r="AX978" s="405"/>
      <c r="AY978" s="405"/>
      <c r="AZ978" s="405"/>
      <c r="BA978" s="405"/>
      <c r="BB978" s="405"/>
      <c r="BC978" s="405"/>
      <c r="BD978" s="405"/>
      <c r="BE978" s="405"/>
      <c r="BF978" s="405"/>
      <c r="BG978" s="405"/>
      <c r="BH978" s="405"/>
      <c r="BI978" s="405"/>
      <c r="BJ978" s="405"/>
      <c r="BK978" s="405"/>
      <c r="BL978" s="405"/>
      <c r="BM978" s="405"/>
      <c r="BN978" s="405"/>
      <c r="BO978" s="405"/>
      <c r="BP978" s="405"/>
      <c r="BQ978" s="405"/>
      <c r="BR978" s="405"/>
      <c r="BS978" s="405"/>
      <c r="BT978" s="405"/>
      <c r="BU978" s="405"/>
      <c r="BV978" s="405"/>
      <c r="BW978" s="405"/>
      <c r="BX978" s="6"/>
      <c r="BY978" s="6"/>
      <c r="BZ978" s="6"/>
      <c r="CA978" s="6"/>
      <c r="CB978" s="6"/>
      <c r="CC978" s="6"/>
      <c r="CD978" s="6"/>
      <c r="CE978" s="6"/>
      <c r="CF978" s="6"/>
      <c r="CG978" s="6"/>
    </row>
    <row r="979" spans="1:85" ht="15.75" customHeight="1">
      <c r="A979" s="553"/>
      <c r="B979" s="223"/>
      <c r="C979" s="554"/>
      <c r="D979" s="223"/>
      <c r="E979" s="505"/>
      <c r="F979" s="505"/>
      <c r="G979" s="402"/>
      <c r="H979" s="505"/>
      <c r="I979" s="555"/>
      <c r="J979" s="555"/>
      <c r="K979" s="505"/>
      <c r="L979" s="404"/>
      <c r="M979" s="405"/>
      <c r="N979" s="505"/>
      <c r="O979" s="405"/>
      <c r="P979" s="405"/>
      <c r="Q979" s="405"/>
      <c r="R979" s="405"/>
      <c r="S979" s="405"/>
      <c r="T979" s="405"/>
      <c r="U979" s="505"/>
      <c r="V979" s="505"/>
      <c r="W979" s="505"/>
      <c r="X979" s="483"/>
      <c r="Y979" s="483"/>
      <c r="Z979" s="483"/>
      <c r="AA979" s="405"/>
      <c r="AB979" s="405"/>
      <c r="AC979" s="405"/>
      <c r="AD979" s="405"/>
      <c r="AE979" s="445"/>
      <c r="AF979" s="445"/>
      <c r="AG979" s="445"/>
      <c r="AH979" s="445"/>
      <c r="AI979" s="405"/>
      <c r="AJ979" s="405"/>
      <c r="AK979" s="405"/>
      <c r="AL979" s="405"/>
      <c r="AM979" s="405"/>
      <c r="AN979" s="405"/>
      <c r="AO979" s="405"/>
      <c r="AP979" s="405"/>
      <c r="AQ979" s="405"/>
      <c r="AR979" s="405"/>
      <c r="AS979" s="405"/>
      <c r="AT979" s="405"/>
      <c r="AU979" s="405"/>
      <c r="AV979" s="405"/>
      <c r="AW979" s="405"/>
      <c r="AX979" s="405"/>
      <c r="AY979" s="405"/>
      <c r="AZ979" s="405"/>
      <c r="BA979" s="405"/>
      <c r="BB979" s="405"/>
      <c r="BC979" s="405"/>
      <c r="BD979" s="405"/>
      <c r="BE979" s="405"/>
      <c r="BF979" s="405"/>
      <c r="BG979" s="405"/>
      <c r="BH979" s="405"/>
      <c r="BI979" s="405"/>
      <c r="BJ979" s="405"/>
      <c r="BK979" s="405"/>
      <c r="BL979" s="405"/>
      <c r="BM979" s="405"/>
      <c r="BN979" s="405"/>
      <c r="BO979" s="405"/>
      <c r="BP979" s="405"/>
      <c r="BQ979" s="405"/>
      <c r="BR979" s="405"/>
      <c r="BS979" s="405"/>
      <c r="BT979" s="405"/>
      <c r="BU979" s="405"/>
      <c r="BV979" s="405"/>
      <c r="BW979" s="405"/>
      <c r="BX979" s="6"/>
      <c r="BY979" s="6"/>
      <c r="BZ979" s="6"/>
      <c r="CA979" s="6"/>
      <c r="CB979" s="6"/>
      <c r="CC979" s="6"/>
      <c r="CD979" s="6"/>
      <c r="CE979" s="6"/>
      <c r="CF979" s="6"/>
      <c r="CG979" s="6"/>
    </row>
    <row r="980" spans="1:85" ht="15.75" customHeight="1">
      <c r="A980" s="553"/>
      <c r="B980" s="223"/>
      <c r="C980" s="554"/>
      <c r="D980" s="223"/>
      <c r="E980" s="505"/>
      <c r="F980" s="505"/>
      <c r="G980" s="402"/>
      <c r="H980" s="505"/>
      <c r="I980" s="555"/>
      <c r="J980" s="555"/>
      <c r="K980" s="505"/>
      <c r="L980" s="404"/>
      <c r="M980" s="405"/>
      <c r="N980" s="505"/>
      <c r="O980" s="405"/>
      <c r="P980" s="405"/>
      <c r="Q980" s="405"/>
      <c r="R980" s="405"/>
      <c r="S980" s="405"/>
      <c r="T980" s="405"/>
      <c r="U980" s="505"/>
      <c r="V980" s="505"/>
      <c r="W980" s="505"/>
      <c r="X980" s="483"/>
      <c r="Y980" s="483"/>
      <c r="Z980" s="483"/>
      <c r="AA980" s="405"/>
      <c r="AB980" s="405"/>
      <c r="AC980" s="405"/>
      <c r="AD980" s="405"/>
      <c r="AE980" s="445"/>
      <c r="AF980" s="445"/>
      <c r="AG980" s="445"/>
      <c r="AH980" s="445"/>
      <c r="AI980" s="405"/>
      <c r="AJ980" s="405"/>
      <c r="AK980" s="405"/>
      <c r="AL980" s="405"/>
      <c r="AM980" s="405"/>
      <c r="AN980" s="405"/>
      <c r="AO980" s="405"/>
      <c r="AP980" s="405"/>
      <c r="AQ980" s="405"/>
      <c r="AR980" s="405"/>
      <c r="AS980" s="405"/>
      <c r="AT980" s="405"/>
      <c r="AU980" s="405"/>
      <c r="AV980" s="405"/>
      <c r="AW980" s="405"/>
      <c r="AX980" s="405"/>
      <c r="AY980" s="405"/>
      <c r="AZ980" s="405"/>
      <c r="BA980" s="405"/>
      <c r="BB980" s="405"/>
      <c r="BC980" s="405"/>
      <c r="BD980" s="405"/>
      <c r="BE980" s="405"/>
      <c r="BF980" s="405"/>
      <c r="BG980" s="405"/>
      <c r="BH980" s="405"/>
      <c r="BI980" s="405"/>
      <c r="BJ980" s="405"/>
      <c r="BK980" s="405"/>
      <c r="BL980" s="405"/>
      <c r="BM980" s="405"/>
      <c r="BN980" s="405"/>
      <c r="BO980" s="405"/>
      <c r="BP980" s="405"/>
      <c r="BQ980" s="405"/>
      <c r="BR980" s="405"/>
      <c r="BS980" s="405"/>
      <c r="BT980" s="405"/>
      <c r="BU980" s="405"/>
      <c r="BV980" s="405"/>
      <c r="BW980" s="405"/>
      <c r="BX980" s="6"/>
      <c r="BY980" s="6"/>
      <c r="BZ980" s="6"/>
      <c r="CA980" s="6"/>
      <c r="CB980" s="6"/>
      <c r="CC980" s="6"/>
      <c r="CD980" s="6"/>
      <c r="CE980" s="6"/>
      <c r="CF980" s="6"/>
      <c r="CG980" s="6"/>
    </row>
    <row r="981" spans="1:85" ht="15.75" customHeight="1">
      <c r="A981" s="553"/>
      <c r="B981" s="223"/>
      <c r="C981" s="554"/>
      <c r="D981" s="223"/>
      <c r="E981" s="505"/>
      <c r="F981" s="505"/>
      <c r="G981" s="402"/>
      <c r="H981" s="505"/>
      <c r="I981" s="555"/>
      <c r="J981" s="555"/>
      <c r="K981" s="505"/>
      <c r="L981" s="404"/>
      <c r="M981" s="405"/>
      <c r="N981" s="505"/>
      <c r="O981" s="405"/>
      <c r="P981" s="405"/>
      <c r="Q981" s="405"/>
      <c r="R981" s="405"/>
      <c r="S981" s="405"/>
      <c r="T981" s="405"/>
      <c r="U981" s="505"/>
      <c r="V981" s="505"/>
      <c r="W981" s="505"/>
      <c r="X981" s="483"/>
      <c r="Y981" s="483"/>
      <c r="Z981" s="483"/>
      <c r="AA981" s="405"/>
      <c r="AB981" s="405"/>
      <c r="AC981" s="405"/>
      <c r="AD981" s="405"/>
      <c r="AE981" s="445"/>
      <c r="AF981" s="445"/>
      <c r="AG981" s="445"/>
      <c r="AH981" s="445"/>
      <c r="AI981" s="405"/>
      <c r="AJ981" s="405"/>
      <c r="AK981" s="405"/>
      <c r="AL981" s="405"/>
      <c r="AM981" s="405"/>
      <c r="AN981" s="405"/>
      <c r="AO981" s="405"/>
      <c r="AP981" s="405"/>
      <c r="AQ981" s="405"/>
      <c r="AR981" s="405"/>
      <c r="AS981" s="405"/>
      <c r="AT981" s="405"/>
      <c r="AU981" s="405"/>
      <c r="AV981" s="405"/>
      <c r="AW981" s="405"/>
      <c r="AX981" s="405"/>
      <c r="AY981" s="405"/>
      <c r="AZ981" s="405"/>
      <c r="BA981" s="405"/>
      <c r="BB981" s="405"/>
      <c r="BC981" s="405"/>
      <c r="BD981" s="405"/>
      <c r="BE981" s="405"/>
      <c r="BF981" s="405"/>
      <c r="BG981" s="405"/>
      <c r="BH981" s="405"/>
      <c r="BI981" s="405"/>
      <c r="BJ981" s="405"/>
      <c r="BK981" s="405"/>
      <c r="BL981" s="405"/>
      <c r="BM981" s="405"/>
      <c r="BN981" s="405"/>
      <c r="BO981" s="405"/>
      <c r="BP981" s="405"/>
      <c r="BQ981" s="405"/>
      <c r="BR981" s="405"/>
      <c r="BS981" s="405"/>
      <c r="BT981" s="405"/>
      <c r="BU981" s="405"/>
      <c r="BV981" s="405"/>
      <c r="BW981" s="405"/>
      <c r="BX981" s="6"/>
      <c r="BY981" s="6"/>
      <c r="BZ981" s="6"/>
      <c r="CA981" s="6"/>
      <c r="CB981" s="6"/>
      <c r="CC981" s="6"/>
      <c r="CD981" s="6"/>
      <c r="CE981" s="6"/>
      <c r="CF981" s="6"/>
      <c r="CG981" s="6"/>
    </row>
    <row r="982" spans="1:85" ht="15.75" customHeight="1">
      <c r="A982" s="553"/>
      <c r="B982" s="223"/>
      <c r="C982" s="554"/>
      <c r="D982" s="223"/>
      <c r="E982" s="505"/>
      <c r="F982" s="505"/>
      <c r="G982" s="402"/>
      <c r="H982" s="505"/>
      <c r="I982" s="555"/>
      <c r="J982" s="555"/>
      <c r="K982" s="505"/>
      <c r="L982" s="404"/>
      <c r="M982" s="405"/>
      <c r="N982" s="505"/>
      <c r="O982" s="405"/>
      <c r="P982" s="405"/>
      <c r="Q982" s="405"/>
      <c r="R982" s="405"/>
      <c r="S982" s="405"/>
      <c r="T982" s="405"/>
      <c r="U982" s="505"/>
      <c r="V982" s="505"/>
      <c r="W982" s="505"/>
      <c r="X982" s="483"/>
      <c r="Y982" s="483"/>
      <c r="Z982" s="483"/>
      <c r="AA982" s="405"/>
      <c r="AB982" s="405"/>
      <c r="AC982" s="405"/>
      <c r="AD982" s="405"/>
      <c r="AE982" s="445"/>
      <c r="AF982" s="445"/>
      <c r="AG982" s="445"/>
      <c r="AH982" s="445"/>
      <c r="AI982" s="405"/>
      <c r="AJ982" s="405"/>
      <c r="AK982" s="405"/>
      <c r="AL982" s="405"/>
      <c r="AM982" s="405"/>
      <c r="AN982" s="405"/>
      <c r="AO982" s="405"/>
      <c r="AP982" s="405"/>
      <c r="AQ982" s="405"/>
      <c r="AR982" s="405"/>
      <c r="AS982" s="405"/>
      <c r="AT982" s="405"/>
      <c r="AU982" s="405"/>
      <c r="AV982" s="405"/>
      <c r="AW982" s="405"/>
      <c r="AX982" s="405"/>
      <c r="AY982" s="405"/>
      <c r="AZ982" s="405"/>
      <c r="BA982" s="405"/>
      <c r="BB982" s="405"/>
      <c r="BC982" s="405"/>
      <c r="BD982" s="405"/>
      <c r="BE982" s="405"/>
      <c r="BF982" s="405"/>
      <c r="BG982" s="405"/>
      <c r="BH982" s="405"/>
      <c r="BI982" s="405"/>
      <c r="BJ982" s="405"/>
      <c r="BK982" s="405"/>
      <c r="BL982" s="405"/>
      <c r="BM982" s="405"/>
      <c r="BN982" s="405"/>
      <c r="BO982" s="405"/>
      <c r="BP982" s="405"/>
      <c r="BQ982" s="405"/>
      <c r="BR982" s="405"/>
      <c r="BS982" s="405"/>
      <c r="BT982" s="405"/>
      <c r="BU982" s="405"/>
      <c r="BV982" s="405"/>
      <c r="BW982" s="405"/>
      <c r="BX982" s="6"/>
      <c r="BY982" s="6"/>
      <c r="BZ982" s="6"/>
      <c r="CA982" s="6"/>
      <c r="CB982" s="6"/>
      <c r="CC982" s="6"/>
      <c r="CD982" s="6"/>
      <c r="CE982" s="6"/>
      <c r="CF982" s="6"/>
      <c r="CG982" s="6"/>
    </row>
    <row r="983" spans="1:85" ht="15.75" customHeight="1">
      <c r="A983" s="553"/>
      <c r="B983" s="223"/>
      <c r="C983" s="554"/>
      <c r="D983" s="223"/>
      <c r="E983" s="505"/>
      <c r="F983" s="505"/>
      <c r="G983" s="402"/>
      <c r="H983" s="505"/>
      <c r="I983" s="555"/>
      <c r="J983" s="555"/>
      <c r="K983" s="505"/>
      <c r="L983" s="404"/>
      <c r="M983" s="405"/>
      <c r="N983" s="505"/>
      <c r="O983" s="405"/>
      <c r="P983" s="405"/>
      <c r="Q983" s="405"/>
      <c r="R983" s="405"/>
      <c r="S983" s="405"/>
      <c r="T983" s="405"/>
      <c r="U983" s="505"/>
      <c r="V983" s="505"/>
      <c r="W983" s="505"/>
      <c r="X983" s="483"/>
      <c r="Y983" s="483"/>
      <c r="Z983" s="483"/>
      <c r="AA983" s="405"/>
      <c r="AB983" s="405"/>
      <c r="AC983" s="405"/>
      <c r="AD983" s="405"/>
      <c r="AE983" s="445"/>
      <c r="AF983" s="445"/>
      <c r="AG983" s="445"/>
      <c r="AH983" s="445"/>
      <c r="AI983" s="405"/>
      <c r="AJ983" s="405"/>
      <c r="AK983" s="405"/>
      <c r="AL983" s="405"/>
      <c r="AM983" s="405"/>
      <c r="AN983" s="405"/>
      <c r="AO983" s="405"/>
      <c r="AP983" s="405"/>
      <c r="AQ983" s="405"/>
      <c r="AR983" s="405"/>
      <c r="AS983" s="405"/>
      <c r="AT983" s="405"/>
      <c r="AU983" s="405"/>
      <c r="AV983" s="405"/>
      <c r="AW983" s="405"/>
      <c r="AX983" s="405"/>
      <c r="AY983" s="405"/>
      <c r="AZ983" s="405"/>
      <c r="BA983" s="405"/>
      <c r="BB983" s="405"/>
      <c r="BC983" s="405"/>
      <c r="BD983" s="405"/>
      <c r="BE983" s="405"/>
      <c r="BF983" s="405"/>
      <c r="BG983" s="405"/>
      <c r="BH983" s="405"/>
      <c r="BI983" s="405"/>
      <c r="BJ983" s="405"/>
      <c r="BK983" s="405"/>
      <c r="BL983" s="405"/>
      <c r="BM983" s="405"/>
      <c r="BN983" s="405"/>
      <c r="BO983" s="405"/>
      <c r="BP983" s="405"/>
      <c r="BQ983" s="405"/>
      <c r="BR983" s="405"/>
      <c r="BS983" s="405"/>
      <c r="BT983" s="405"/>
      <c r="BU983" s="405"/>
      <c r="BV983" s="405"/>
      <c r="BW983" s="405"/>
      <c r="BX983" s="6"/>
      <c r="BY983" s="6"/>
      <c r="BZ983" s="6"/>
      <c r="CA983" s="6"/>
      <c r="CB983" s="6"/>
      <c r="CC983" s="6"/>
      <c r="CD983" s="6"/>
      <c r="CE983" s="6"/>
      <c r="CF983" s="6"/>
      <c r="CG983" s="6"/>
    </row>
    <row r="984" spans="1:85" ht="15.75" customHeight="1">
      <c r="A984" s="553"/>
      <c r="B984" s="223"/>
      <c r="C984" s="554"/>
      <c r="D984" s="223"/>
      <c r="E984" s="505"/>
      <c r="F984" s="505"/>
      <c r="G984" s="402"/>
      <c r="H984" s="505"/>
      <c r="I984" s="555"/>
      <c r="J984" s="555"/>
      <c r="K984" s="505"/>
      <c r="L984" s="404"/>
      <c r="M984" s="405"/>
      <c r="N984" s="505"/>
      <c r="O984" s="405"/>
      <c r="P984" s="405"/>
      <c r="Q984" s="405"/>
      <c r="R984" s="405"/>
      <c r="S984" s="405"/>
      <c r="T984" s="405"/>
      <c r="U984" s="505"/>
      <c r="V984" s="505"/>
      <c r="W984" s="505"/>
      <c r="X984" s="483"/>
      <c r="Y984" s="483"/>
      <c r="Z984" s="483"/>
      <c r="AA984" s="405"/>
      <c r="AB984" s="405"/>
      <c r="AC984" s="405"/>
      <c r="AD984" s="405"/>
      <c r="AE984" s="445"/>
      <c r="AF984" s="445"/>
      <c r="AG984" s="445"/>
      <c r="AH984" s="445"/>
      <c r="AI984" s="405"/>
      <c r="AJ984" s="405"/>
      <c r="AK984" s="405"/>
      <c r="AL984" s="405"/>
      <c r="AM984" s="405"/>
      <c r="AN984" s="405"/>
      <c r="AO984" s="405"/>
      <c r="AP984" s="405"/>
      <c r="AQ984" s="405"/>
      <c r="AR984" s="405"/>
      <c r="AS984" s="405"/>
      <c r="AT984" s="405"/>
      <c r="AU984" s="405"/>
      <c r="AV984" s="405"/>
      <c r="AW984" s="405"/>
      <c r="AX984" s="405"/>
      <c r="AY984" s="405"/>
      <c r="AZ984" s="405"/>
      <c r="BA984" s="405"/>
      <c r="BB984" s="405"/>
      <c r="BC984" s="405"/>
      <c r="BD984" s="405"/>
      <c r="BE984" s="405"/>
      <c r="BF984" s="405"/>
      <c r="BG984" s="405"/>
      <c r="BH984" s="405"/>
      <c r="BI984" s="405"/>
      <c r="BJ984" s="405"/>
      <c r="BK984" s="405"/>
      <c r="BL984" s="405"/>
      <c r="BM984" s="405"/>
      <c r="BN984" s="405"/>
      <c r="BO984" s="405"/>
      <c r="BP984" s="405"/>
      <c r="BQ984" s="405"/>
      <c r="BR984" s="405"/>
      <c r="BS984" s="405"/>
      <c r="BT984" s="405"/>
      <c r="BU984" s="405"/>
      <c r="BV984" s="405"/>
      <c r="BW984" s="405"/>
      <c r="BX984" s="6"/>
      <c r="BY984" s="6"/>
      <c r="BZ984" s="6"/>
      <c r="CA984" s="6"/>
      <c r="CB984" s="6"/>
      <c r="CC984" s="6"/>
      <c r="CD984" s="6"/>
      <c r="CE984" s="6"/>
      <c r="CF984" s="6"/>
      <c r="CG984" s="6"/>
    </row>
    <row r="985" spans="1:85" ht="15.75" customHeight="1">
      <c r="A985" s="553"/>
      <c r="B985" s="223"/>
      <c r="C985" s="554"/>
      <c r="D985" s="223"/>
      <c r="E985" s="505"/>
      <c r="F985" s="505"/>
      <c r="G985" s="402"/>
      <c r="H985" s="505"/>
      <c r="I985" s="555"/>
      <c r="J985" s="555"/>
      <c r="K985" s="505"/>
      <c r="L985" s="404"/>
      <c r="M985" s="405"/>
      <c r="N985" s="505"/>
      <c r="O985" s="405"/>
      <c r="P985" s="405"/>
      <c r="Q985" s="405"/>
      <c r="R985" s="405"/>
      <c r="S985" s="405"/>
      <c r="T985" s="405"/>
      <c r="U985" s="505"/>
      <c r="V985" s="505"/>
      <c r="W985" s="505"/>
      <c r="X985" s="483"/>
      <c r="Y985" s="483"/>
      <c r="Z985" s="483"/>
      <c r="AA985" s="405"/>
      <c r="AB985" s="405"/>
      <c r="AC985" s="405"/>
      <c r="AD985" s="405"/>
      <c r="AE985" s="445"/>
      <c r="AF985" s="445"/>
      <c r="AG985" s="445"/>
      <c r="AH985" s="445"/>
      <c r="AI985" s="405"/>
      <c r="AJ985" s="405"/>
      <c r="AK985" s="405"/>
      <c r="AL985" s="405"/>
      <c r="AM985" s="405"/>
      <c r="AN985" s="405"/>
      <c r="AO985" s="405"/>
      <c r="AP985" s="405"/>
      <c r="AQ985" s="405"/>
      <c r="AR985" s="405"/>
      <c r="AS985" s="405"/>
      <c r="AT985" s="405"/>
      <c r="AU985" s="405"/>
      <c r="AV985" s="405"/>
      <c r="AW985" s="405"/>
      <c r="AX985" s="405"/>
      <c r="AY985" s="405"/>
      <c r="AZ985" s="405"/>
      <c r="BA985" s="405"/>
      <c r="BB985" s="405"/>
      <c r="BC985" s="405"/>
      <c r="BD985" s="405"/>
      <c r="BE985" s="405"/>
      <c r="BF985" s="405"/>
      <c r="BG985" s="405"/>
      <c r="BH985" s="405"/>
      <c r="BI985" s="405"/>
      <c r="BJ985" s="405"/>
      <c r="BK985" s="405"/>
      <c r="BL985" s="405"/>
      <c r="BM985" s="405"/>
      <c r="BN985" s="405"/>
      <c r="BO985" s="405"/>
      <c r="BP985" s="405"/>
      <c r="BQ985" s="405"/>
      <c r="BR985" s="405"/>
      <c r="BS985" s="405"/>
      <c r="BT985" s="405"/>
      <c r="BU985" s="405"/>
      <c r="BV985" s="405"/>
      <c r="BW985" s="405"/>
      <c r="BX985" s="6"/>
      <c r="BY985" s="6"/>
      <c r="BZ985" s="6"/>
      <c r="CA985" s="6"/>
      <c r="CB985" s="6"/>
      <c r="CC985" s="6"/>
      <c r="CD985" s="6"/>
      <c r="CE985" s="6"/>
      <c r="CF985" s="6"/>
      <c r="CG985" s="6"/>
    </row>
    <row r="986" spans="1:85" ht="15.75" customHeight="1">
      <c r="A986" s="553"/>
      <c r="B986" s="223"/>
      <c r="C986" s="554"/>
      <c r="D986" s="223"/>
      <c r="E986" s="505"/>
      <c r="F986" s="505"/>
      <c r="G986" s="402"/>
      <c r="H986" s="505"/>
      <c r="I986" s="555"/>
      <c r="J986" s="555"/>
      <c r="K986" s="505"/>
      <c r="L986" s="404"/>
      <c r="M986" s="405"/>
      <c r="N986" s="505"/>
      <c r="O986" s="405"/>
      <c r="P986" s="405"/>
      <c r="Q986" s="405"/>
      <c r="R986" s="405"/>
      <c r="S986" s="405"/>
      <c r="T986" s="405"/>
      <c r="U986" s="505"/>
      <c r="V986" s="505"/>
      <c r="W986" s="505"/>
      <c r="X986" s="483"/>
      <c r="Y986" s="483"/>
      <c r="Z986" s="483"/>
      <c r="AA986" s="405"/>
      <c r="AB986" s="405"/>
      <c r="AC986" s="405"/>
      <c r="AD986" s="405"/>
      <c r="AE986" s="445"/>
      <c r="AF986" s="445"/>
      <c r="AG986" s="445"/>
      <c r="AH986" s="445"/>
      <c r="AI986" s="405"/>
      <c r="AJ986" s="405"/>
      <c r="AK986" s="405"/>
      <c r="AL986" s="405"/>
      <c r="AM986" s="405"/>
      <c r="AN986" s="405"/>
      <c r="AO986" s="405"/>
      <c r="AP986" s="405"/>
      <c r="AQ986" s="405"/>
      <c r="AR986" s="405"/>
      <c r="AS986" s="405"/>
      <c r="AT986" s="405"/>
      <c r="AU986" s="405"/>
      <c r="AV986" s="405"/>
      <c r="AW986" s="405"/>
      <c r="AX986" s="405"/>
      <c r="AY986" s="405"/>
      <c r="AZ986" s="405"/>
      <c r="BA986" s="405"/>
      <c r="BB986" s="405"/>
      <c r="BC986" s="405"/>
      <c r="BD986" s="405"/>
      <c r="BE986" s="405"/>
      <c r="BF986" s="405"/>
      <c r="BG986" s="405"/>
      <c r="BH986" s="405"/>
      <c r="BI986" s="405"/>
      <c r="BJ986" s="405"/>
      <c r="BK986" s="405"/>
      <c r="BL986" s="405"/>
      <c r="BM986" s="405"/>
      <c r="BN986" s="405"/>
      <c r="BO986" s="405"/>
      <c r="BP986" s="405"/>
      <c r="BQ986" s="405"/>
      <c r="BR986" s="405"/>
      <c r="BS986" s="405"/>
      <c r="BT986" s="405"/>
      <c r="BU986" s="405"/>
      <c r="BV986" s="405"/>
      <c r="BW986" s="405"/>
      <c r="BX986" s="6"/>
      <c r="BY986" s="6"/>
      <c r="BZ986" s="6"/>
      <c r="CA986" s="6"/>
      <c r="CB986" s="6"/>
      <c r="CC986" s="6"/>
      <c r="CD986" s="6"/>
      <c r="CE986" s="6"/>
      <c r="CF986" s="6"/>
      <c r="CG986" s="6"/>
    </row>
    <row r="987" spans="1:85" ht="15.75" customHeight="1">
      <c r="A987" s="553"/>
      <c r="B987" s="223"/>
      <c r="C987" s="554"/>
      <c r="D987" s="223"/>
      <c r="E987" s="505"/>
      <c r="F987" s="505"/>
      <c r="G987" s="402"/>
      <c r="H987" s="505"/>
      <c r="I987" s="555"/>
      <c r="J987" s="555"/>
      <c r="K987" s="505"/>
      <c r="L987" s="404"/>
      <c r="M987" s="405"/>
      <c r="N987" s="505"/>
      <c r="O987" s="405"/>
      <c r="P987" s="405"/>
      <c r="Q987" s="405"/>
      <c r="R987" s="405"/>
      <c r="S987" s="405"/>
      <c r="T987" s="405"/>
      <c r="U987" s="505"/>
      <c r="V987" s="505"/>
      <c r="W987" s="505"/>
      <c r="X987" s="483"/>
      <c r="Y987" s="483"/>
      <c r="Z987" s="483"/>
      <c r="AA987" s="405"/>
      <c r="AB987" s="405"/>
      <c r="AC987" s="405"/>
      <c r="AD987" s="405"/>
      <c r="AE987" s="445"/>
      <c r="AF987" s="445"/>
      <c r="AG987" s="445"/>
      <c r="AH987" s="445"/>
      <c r="AI987" s="405"/>
      <c r="AJ987" s="405"/>
      <c r="AK987" s="405"/>
      <c r="AL987" s="405"/>
      <c r="AM987" s="405"/>
      <c r="AN987" s="405"/>
      <c r="AO987" s="405"/>
      <c r="AP987" s="405"/>
      <c r="AQ987" s="405"/>
      <c r="AR987" s="405"/>
      <c r="AS987" s="405"/>
      <c r="AT987" s="405"/>
      <c r="AU987" s="405"/>
      <c r="AV987" s="405"/>
      <c r="AW987" s="405"/>
      <c r="AX987" s="405"/>
      <c r="AY987" s="405"/>
      <c r="AZ987" s="405"/>
      <c r="BA987" s="405"/>
      <c r="BB987" s="405"/>
      <c r="BC987" s="405"/>
      <c r="BD987" s="405"/>
      <c r="BE987" s="405"/>
      <c r="BF987" s="405"/>
      <c r="BG987" s="405"/>
      <c r="BH987" s="405"/>
      <c r="BI987" s="405"/>
      <c r="BJ987" s="405"/>
      <c r="BK987" s="405"/>
      <c r="BL987" s="405"/>
      <c r="BM987" s="405"/>
      <c r="BN987" s="405"/>
      <c r="BO987" s="405"/>
      <c r="BP987" s="405"/>
      <c r="BQ987" s="405"/>
      <c r="BR987" s="405"/>
      <c r="BS987" s="405"/>
      <c r="BT987" s="405"/>
      <c r="BU987" s="405"/>
      <c r="BV987" s="405"/>
      <c r="BW987" s="405"/>
      <c r="BX987" s="6"/>
      <c r="BY987" s="6"/>
      <c r="BZ987" s="6"/>
      <c r="CA987" s="6"/>
      <c r="CB987" s="6"/>
      <c r="CC987" s="6"/>
      <c r="CD987" s="6"/>
      <c r="CE987" s="6"/>
      <c r="CF987" s="6"/>
      <c r="CG987" s="6"/>
    </row>
    <row r="988" spans="1:85" ht="15.75" customHeight="1">
      <c r="A988" s="553"/>
      <c r="B988" s="223"/>
      <c r="C988" s="554"/>
      <c r="D988" s="223"/>
      <c r="E988" s="505"/>
      <c r="F988" s="505"/>
      <c r="G988" s="402"/>
      <c r="H988" s="505"/>
      <c r="I988" s="555"/>
      <c r="J988" s="555"/>
      <c r="K988" s="505"/>
      <c r="L988" s="404"/>
      <c r="M988" s="405"/>
      <c r="N988" s="505"/>
      <c r="O988" s="405"/>
      <c r="P988" s="405"/>
      <c r="Q988" s="405"/>
      <c r="R988" s="405"/>
      <c r="S988" s="405"/>
      <c r="T988" s="405"/>
      <c r="U988" s="505"/>
      <c r="V988" s="505"/>
      <c r="W988" s="505"/>
      <c r="X988" s="483"/>
      <c r="Y988" s="483"/>
      <c r="Z988" s="483"/>
      <c r="AA988" s="405"/>
      <c r="AB988" s="405"/>
      <c r="AC988" s="405"/>
      <c r="AD988" s="405"/>
      <c r="AE988" s="445"/>
      <c r="AF988" s="445"/>
      <c r="AG988" s="445"/>
      <c r="AH988" s="445"/>
      <c r="AI988" s="405"/>
      <c r="AJ988" s="405"/>
      <c r="AK988" s="405"/>
      <c r="AL988" s="405"/>
      <c r="AM988" s="405"/>
      <c r="AN988" s="405"/>
      <c r="AO988" s="405"/>
      <c r="AP988" s="405"/>
      <c r="AQ988" s="405"/>
      <c r="AR988" s="405"/>
      <c r="AS988" s="405"/>
      <c r="AT988" s="405"/>
      <c r="AU988" s="405"/>
      <c r="AV988" s="405"/>
      <c r="AW988" s="405"/>
      <c r="AX988" s="405"/>
      <c r="AY988" s="405"/>
      <c r="AZ988" s="405"/>
      <c r="BA988" s="405"/>
      <c r="BB988" s="405"/>
      <c r="BC988" s="405"/>
      <c r="BD988" s="405"/>
      <c r="BE988" s="405"/>
      <c r="BF988" s="405"/>
      <c r="BG988" s="405"/>
      <c r="BH988" s="405"/>
      <c r="BI988" s="405"/>
      <c r="BJ988" s="405"/>
      <c r="BK988" s="405"/>
      <c r="BL988" s="405"/>
      <c r="BM988" s="405"/>
      <c r="BN988" s="405"/>
      <c r="BO988" s="405"/>
      <c r="BP988" s="405"/>
      <c r="BQ988" s="405"/>
      <c r="BR988" s="405"/>
      <c r="BS988" s="405"/>
      <c r="BT988" s="405"/>
      <c r="BU988" s="405"/>
      <c r="BV988" s="405"/>
      <c r="BW988" s="405"/>
      <c r="BX988" s="6"/>
      <c r="BY988" s="6"/>
      <c r="BZ988" s="6"/>
      <c r="CA988" s="6"/>
      <c r="CB988" s="6"/>
      <c r="CC988" s="6"/>
      <c r="CD988" s="6"/>
      <c r="CE988" s="6"/>
      <c r="CF988" s="6"/>
      <c r="CG988" s="6"/>
    </row>
    <row r="989" spans="1:85" ht="15.75" customHeight="1">
      <c r="A989" s="553"/>
      <c r="B989" s="223"/>
      <c r="C989" s="554"/>
      <c r="D989" s="223"/>
      <c r="E989" s="505"/>
      <c r="F989" s="505"/>
      <c r="G989" s="402"/>
      <c r="H989" s="505"/>
      <c r="I989" s="555"/>
      <c r="J989" s="555"/>
      <c r="K989" s="505"/>
      <c r="L989" s="404"/>
      <c r="M989" s="405"/>
      <c r="N989" s="505"/>
      <c r="O989" s="405"/>
      <c r="P989" s="405"/>
      <c r="Q989" s="405"/>
      <c r="R989" s="405"/>
      <c r="S989" s="405"/>
      <c r="T989" s="405"/>
      <c r="U989" s="505"/>
      <c r="V989" s="505"/>
      <c r="W989" s="505"/>
      <c r="X989" s="483"/>
      <c r="Y989" s="483"/>
      <c r="Z989" s="483"/>
      <c r="AA989" s="405"/>
      <c r="AB989" s="405"/>
      <c r="AC989" s="405"/>
      <c r="AD989" s="405"/>
      <c r="AE989" s="445"/>
      <c r="AF989" s="445"/>
      <c r="AG989" s="445"/>
      <c r="AH989" s="445"/>
      <c r="AI989" s="405"/>
      <c r="AJ989" s="405"/>
      <c r="AK989" s="405"/>
      <c r="AL989" s="405"/>
      <c r="AM989" s="405"/>
      <c r="AN989" s="405"/>
      <c r="AO989" s="405"/>
      <c r="AP989" s="405"/>
      <c r="AQ989" s="405"/>
      <c r="AR989" s="405"/>
      <c r="AS989" s="405"/>
      <c r="AT989" s="405"/>
      <c r="AU989" s="405"/>
      <c r="AV989" s="405"/>
      <c r="AW989" s="405"/>
      <c r="AX989" s="405"/>
      <c r="AY989" s="405"/>
      <c r="AZ989" s="405"/>
      <c r="BA989" s="405"/>
      <c r="BB989" s="405"/>
      <c r="BC989" s="405"/>
      <c r="BD989" s="405"/>
      <c r="BE989" s="405"/>
      <c r="BF989" s="405"/>
      <c r="BG989" s="405"/>
      <c r="BH989" s="405"/>
      <c r="BI989" s="405"/>
      <c r="BJ989" s="405"/>
      <c r="BK989" s="405"/>
      <c r="BL989" s="405"/>
      <c r="BM989" s="405"/>
      <c r="BN989" s="405"/>
      <c r="BO989" s="405"/>
      <c r="BP989" s="405"/>
      <c r="BQ989" s="405"/>
      <c r="BR989" s="405"/>
      <c r="BS989" s="405"/>
      <c r="BT989" s="405"/>
      <c r="BU989" s="405"/>
      <c r="BV989" s="405"/>
      <c r="BW989" s="405"/>
      <c r="BX989" s="6"/>
      <c r="BY989" s="6"/>
      <c r="BZ989" s="6"/>
      <c r="CA989" s="6"/>
      <c r="CB989" s="6"/>
      <c r="CC989" s="6"/>
      <c r="CD989" s="6"/>
      <c r="CE989" s="6"/>
      <c r="CF989" s="6"/>
      <c r="CG989" s="6"/>
    </row>
    <row r="990" spans="1:85" ht="15.75" customHeight="1">
      <c r="A990" s="553"/>
      <c r="B990" s="223"/>
      <c r="C990" s="554"/>
      <c r="D990" s="223"/>
      <c r="E990" s="505"/>
      <c r="F990" s="505"/>
      <c r="G990" s="402"/>
      <c r="H990" s="505"/>
      <c r="I990" s="555"/>
      <c r="J990" s="555"/>
      <c r="K990" s="505"/>
      <c r="L990" s="404"/>
      <c r="M990" s="405"/>
      <c r="N990" s="505"/>
      <c r="O990" s="405"/>
      <c r="P990" s="405"/>
      <c r="Q990" s="405"/>
      <c r="R990" s="405"/>
      <c r="S990" s="405"/>
      <c r="T990" s="405"/>
      <c r="U990" s="505"/>
      <c r="V990" s="505"/>
      <c r="W990" s="505"/>
      <c r="X990" s="483"/>
      <c r="Y990" s="483"/>
      <c r="Z990" s="483"/>
      <c r="AA990" s="405"/>
      <c r="AB990" s="405"/>
      <c r="AC990" s="405"/>
      <c r="AD990" s="405"/>
      <c r="AE990" s="445"/>
      <c r="AF990" s="445"/>
      <c r="AG990" s="445"/>
      <c r="AH990" s="445"/>
      <c r="AI990" s="405"/>
      <c r="AJ990" s="405"/>
      <c r="AK990" s="405"/>
      <c r="AL990" s="405"/>
      <c r="AM990" s="405"/>
      <c r="AN990" s="405"/>
      <c r="AO990" s="405"/>
      <c r="AP990" s="405"/>
      <c r="AQ990" s="405"/>
      <c r="AR990" s="405"/>
      <c r="AS990" s="405"/>
      <c r="AT990" s="405"/>
      <c r="AU990" s="405"/>
      <c r="AV990" s="405"/>
      <c r="AW990" s="405"/>
      <c r="AX990" s="405"/>
      <c r="AY990" s="405"/>
      <c r="AZ990" s="405"/>
      <c r="BA990" s="405"/>
      <c r="BB990" s="405"/>
      <c r="BC990" s="405"/>
      <c r="BD990" s="405"/>
      <c r="BE990" s="405"/>
      <c r="BF990" s="405"/>
      <c r="BG990" s="405"/>
      <c r="BH990" s="405"/>
      <c r="BI990" s="405"/>
      <c r="BJ990" s="405"/>
      <c r="BK990" s="405"/>
      <c r="BL990" s="405"/>
      <c r="BM990" s="405"/>
      <c r="BN990" s="405"/>
      <c r="BO990" s="405"/>
      <c r="BP990" s="405"/>
      <c r="BQ990" s="405"/>
      <c r="BR990" s="405"/>
      <c r="BS990" s="405"/>
      <c r="BT990" s="405"/>
      <c r="BU990" s="405"/>
      <c r="BV990" s="405"/>
      <c r="BW990" s="405"/>
      <c r="BX990" s="6"/>
      <c r="BY990" s="6"/>
      <c r="BZ990" s="6"/>
      <c r="CA990" s="6"/>
      <c r="CB990" s="6"/>
      <c r="CC990" s="6"/>
      <c r="CD990" s="6"/>
      <c r="CE990" s="6"/>
      <c r="CF990" s="6"/>
      <c r="CG990" s="6"/>
    </row>
    <row r="991" spans="1:85" ht="15.75" customHeight="1">
      <c r="A991" s="553"/>
      <c r="B991" s="223"/>
      <c r="C991" s="554"/>
      <c r="D991" s="223"/>
      <c r="E991" s="505"/>
      <c r="F991" s="505"/>
      <c r="G991" s="402"/>
      <c r="H991" s="505"/>
      <c r="I991" s="555"/>
      <c r="J991" s="555"/>
      <c r="K991" s="505"/>
      <c r="L991" s="404"/>
      <c r="M991" s="405"/>
      <c r="N991" s="505"/>
      <c r="O991" s="405"/>
      <c r="P991" s="405"/>
      <c r="Q991" s="405"/>
      <c r="R991" s="405"/>
      <c r="S991" s="405"/>
      <c r="T991" s="405"/>
      <c r="U991" s="505"/>
      <c r="V991" s="505"/>
      <c r="W991" s="505"/>
      <c r="X991" s="483"/>
      <c r="Y991" s="483"/>
      <c r="Z991" s="483"/>
      <c r="AA991" s="405"/>
      <c r="AB991" s="405"/>
      <c r="AC991" s="405"/>
      <c r="AD991" s="405"/>
      <c r="AE991" s="445"/>
      <c r="AF991" s="445"/>
      <c r="AG991" s="445"/>
      <c r="AH991" s="445"/>
      <c r="AI991" s="405"/>
      <c r="AJ991" s="405"/>
      <c r="AK991" s="405"/>
      <c r="AL991" s="405"/>
      <c r="AM991" s="405"/>
      <c r="AN991" s="405"/>
      <c r="AO991" s="405"/>
      <c r="AP991" s="405"/>
      <c r="AQ991" s="405"/>
      <c r="AR991" s="405"/>
      <c r="AS991" s="405"/>
      <c r="AT991" s="405"/>
      <c r="AU991" s="405"/>
      <c r="AV991" s="405"/>
      <c r="AW991" s="405"/>
      <c r="AX991" s="405"/>
      <c r="AY991" s="405"/>
      <c r="AZ991" s="405"/>
      <c r="BA991" s="405"/>
      <c r="BB991" s="405"/>
      <c r="BC991" s="405"/>
      <c r="BD991" s="405"/>
      <c r="BE991" s="405"/>
      <c r="BF991" s="405"/>
      <c r="BG991" s="405"/>
      <c r="BH991" s="405"/>
      <c r="BI991" s="405"/>
      <c r="BJ991" s="405"/>
      <c r="BK991" s="405"/>
      <c r="BL991" s="405"/>
      <c r="BM991" s="405"/>
      <c r="BN991" s="405"/>
      <c r="BO991" s="405"/>
      <c r="BP991" s="405"/>
      <c r="BQ991" s="405"/>
      <c r="BR991" s="405"/>
      <c r="BS991" s="405"/>
      <c r="BT991" s="405"/>
      <c r="BU991" s="405"/>
      <c r="BV991" s="405"/>
      <c r="BW991" s="405"/>
      <c r="BX991" s="6"/>
      <c r="BY991" s="6"/>
      <c r="BZ991" s="6"/>
      <c r="CA991" s="6"/>
      <c r="CB991" s="6"/>
      <c r="CC991" s="6"/>
      <c r="CD991" s="6"/>
      <c r="CE991" s="6"/>
      <c r="CF991" s="6"/>
      <c r="CG991" s="6"/>
    </row>
    <row r="992" spans="1:85" ht="15.75" customHeight="1">
      <c r="A992" s="553"/>
      <c r="B992" s="223"/>
      <c r="C992" s="554"/>
      <c r="D992" s="223"/>
      <c r="E992" s="505"/>
      <c r="F992" s="505"/>
      <c r="G992" s="402"/>
      <c r="H992" s="505"/>
      <c r="I992" s="555"/>
      <c r="J992" s="555"/>
      <c r="K992" s="505"/>
      <c r="L992" s="404"/>
      <c r="M992" s="405"/>
      <c r="N992" s="505"/>
      <c r="O992" s="405"/>
      <c r="P992" s="405"/>
      <c r="Q992" s="405"/>
      <c r="R992" s="405"/>
      <c r="S992" s="405"/>
      <c r="T992" s="405"/>
      <c r="U992" s="505"/>
      <c r="V992" s="505"/>
      <c r="W992" s="505"/>
      <c r="X992" s="483"/>
      <c r="Y992" s="483"/>
      <c r="Z992" s="483"/>
      <c r="AA992" s="405"/>
      <c r="AB992" s="405"/>
      <c r="AC992" s="405"/>
      <c r="AD992" s="405"/>
      <c r="AE992" s="445"/>
      <c r="AF992" s="445"/>
      <c r="AG992" s="445"/>
      <c r="AH992" s="445"/>
      <c r="AI992" s="405"/>
      <c r="AJ992" s="405"/>
      <c r="AK992" s="405"/>
      <c r="AL992" s="405"/>
      <c r="AM992" s="405"/>
      <c r="AN992" s="405"/>
      <c r="AO992" s="405"/>
      <c r="AP992" s="405"/>
      <c r="AQ992" s="405"/>
      <c r="AR992" s="405"/>
      <c r="AS992" s="405"/>
      <c r="AT992" s="405"/>
      <c r="AU992" s="405"/>
      <c r="AV992" s="405"/>
      <c r="AW992" s="405"/>
      <c r="AX992" s="405"/>
      <c r="AY992" s="405"/>
      <c r="AZ992" s="405"/>
      <c r="BA992" s="405"/>
      <c r="BB992" s="405"/>
      <c r="BC992" s="405"/>
      <c r="BD992" s="405"/>
      <c r="BE992" s="405"/>
      <c r="BF992" s="405"/>
      <c r="BG992" s="405"/>
      <c r="BH992" s="405"/>
      <c r="BI992" s="405"/>
      <c r="BJ992" s="405"/>
      <c r="BK992" s="405"/>
      <c r="BL992" s="405"/>
      <c r="BM992" s="405"/>
      <c r="BN992" s="405"/>
      <c r="BO992" s="405"/>
      <c r="BP992" s="405"/>
      <c r="BQ992" s="405"/>
      <c r="BR992" s="405"/>
      <c r="BS992" s="405"/>
      <c r="BT992" s="405"/>
      <c r="BU992" s="405"/>
      <c r="BV992" s="405"/>
      <c r="BW992" s="405"/>
      <c r="BX992" s="6"/>
      <c r="BY992" s="6"/>
      <c r="BZ992" s="6"/>
      <c r="CA992" s="6"/>
      <c r="CB992" s="6"/>
      <c r="CC992" s="6"/>
      <c r="CD992" s="6"/>
      <c r="CE992" s="6"/>
      <c r="CF992" s="6"/>
      <c r="CG992" s="6"/>
    </row>
    <row r="993" spans="1:85" ht="15.75" customHeight="1">
      <c r="A993" s="553"/>
      <c r="B993" s="223"/>
      <c r="C993" s="554"/>
      <c r="D993" s="223"/>
      <c r="E993" s="505"/>
      <c r="F993" s="505"/>
      <c r="G993" s="402"/>
      <c r="H993" s="505"/>
      <c r="I993" s="555"/>
      <c r="J993" s="555"/>
      <c r="K993" s="505"/>
      <c r="L993" s="404"/>
      <c r="M993" s="405"/>
      <c r="N993" s="505"/>
      <c r="O993" s="405"/>
      <c r="P993" s="405"/>
      <c r="Q993" s="405"/>
      <c r="R993" s="405"/>
      <c r="S993" s="405"/>
      <c r="T993" s="405"/>
      <c r="U993" s="505"/>
      <c r="V993" s="505"/>
      <c r="W993" s="505"/>
      <c r="X993" s="483"/>
      <c r="Y993" s="483"/>
      <c r="Z993" s="483"/>
      <c r="AA993" s="405"/>
      <c r="AB993" s="405"/>
      <c r="AC993" s="405"/>
      <c r="AD993" s="405"/>
      <c r="AE993" s="445"/>
      <c r="AF993" s="445"/>
      <c r="AG993" s="445"/>
      <c r="AH993" s="445"/>
      <c r="AI993" s="405"/>
      <c r="AJ993" s="405"/>
      <c r="AK993" s="405"/>
      <c r="AL993" s="405"/>
      <c r="AM993" s="405"/>
      <c r="AN993" s="405"/>
      <c r="AO993" s="405"/>
      <c r="AP993" s="405"/>
      <c r="AQ993" s="405"/>
      <c r="AR993" s="405"/>
      <c r="AS993" s="405"/>
      <c r="AT993" s="405"/>
      <c r="AU993" s="405"/>
      <c r="AV993" s="405"/>
      <c r="AW993" s="405"/>
      <c r="AX993" s="405"/>
      <c r="AY993" s="405"/>
      <c r="AZ993" s="405"/>
      <c r="BA993" s="405"/>
      <c r="BB993" s="405"/>
      <c r="BC993" s="405"/>
      <c r="BD993" s="405"/>
      <c r="BE993" s="405"/>
      <c r="BF993" s="405"/>
      <c r="BG993" s="405"/>
      <c r="BH993" s="405"/>
      <c r="BI993" s="405"/>
      <c r="BJ993" s="405"/>
      <c r="BK993" s="405"/>
      <c r="BL993" s="405"/>
      <c r="BM993" s="405"/>
      <c r="BN993" s="405"/>
      <c r="BO993" s="405"/>
      <c r="BP993" s="405"/>
      <c r="BQ993" s="405"/>
      <c r="BR993" s="405"/>
      <c r="BS993" s="405"/>
      <c r="BT993" s="405"/>
      <c r="BU993" s="405"/>
      <c r="BV993" s="405"/>
      <c r="BW993" s="405"/>
      <c r="BX993" s="6"/>
      <c r="BY993" s="6"/>
      <c r="BZ993" s="6"/>
      <c r="CA993" s="6"/>
      <c r="CB993" s="6"/>
      <c r="CC993" s="6"/>
      <c r="CD993" s="6"/>
      <c r="CE993" s="6"/>
      <c r="CF993" s="6"/>
      <c r="CG993" s="6"/>
    </row>
    <row r="994" spans="1:85" ht="15.75" customHeight="1">
      <c r="A994" s="553"/>
      <c r="B994" s="223"/>
      <c r="C994" s="554"/>
      <c r="D994" s="223"/>
      <c r="E994" s="505"/>
      <c r="F994" s="505"/>
      <c r="G994" s="402"/>
      <c r="H994" s="505"/>
      <c r="I994" s="555"/>
      <c r="J994" s="555"/>
      <c r="K994" s="505"/>
      <c r="L994" s="404"/>
      <c r="M994" s="405"/>
      <c r="N994" s="505"/>
      <c r="O994" s="405"/>
      <c r="P994" s="405"/>
      <c r="Q994" s="405"/>
      <c r="R994" s="405"/>
      <c r="S994" s="405"/>
      <c r="T994" s="405"/>
      <c r="U994" s="505"/>
      <c r="V994" s="505"/>
      <c r="W994" s="505"/>
      <c r="X994" s="483"/>
      <c r="Y994" s="483"/>
      <c r="Z994" s="483"/>
      <c r="AA994" s="405"/>
      <c r="AB994" s="405"/>
      <c r="AC994" s="405"/>
      <c r="AD994" s="405"/>
      <c r="AE994" s="445"/>
      <c r="AF994" s="445"/>
      <c r="AG994" s="445"/>
      <c r="AH994" s="445"/>
      <c r="AI994" s="405"/>
      <c r="AJ994" s="405"/>
      <c r="AK994" s="405"/>
      <c r="AL994" s="405"/>
      <c r="AM994" s="405"/>
      <c r="AN994" s="405"/>
      <c r="AO994" s="405"/>
      <c r="AP994" s="405"/>
      <c r="AQ994" s="405"/>
      <c r="AR994" s="405"/>
      <c r="AS994" s="405"/>
      <c r="AT994" s="405"/>
      <c r="AU994" s="405"/>
      <c r="AV994" s="405"/>
      <c r="AW994" s="405"/>
      <c r="AX994" s="405"/>
      <c r="AY994" s="405"/>
      <c r="AZ994" s="405"/>
      <c r="BA994" s="405"/>
      <c r="BB994" s="405"/>
      <c r="BC994" s="405"/>
      <c r="BD994" s="405"/>
      <c r="BE994" s="405"/>
      <c r="BF994" s="405"/>
      <c r="BG994" s="405"/>
      <c r="BH994" s="405"/>
      <c r="BI994" s="405"/>
      <c r="BJ994" s="405"/>
      <c r="BK994" s="405"/>
      <c r="BL994" s="405"/>
      <c r="BM994" s="405"/>
      <c r="BN994" s="405"/>
      <c r="BO994" s="405"/>
      <c r="BP994" s="405"/>
      <c r="BQ994" s="405"/>
      <c r="BR994" s="405"/>
      <c r="BS994" s="405"/>
      <c r="BT994" s="405"/>
      <c r="BU994" s="405"/>
      <c r="BV994" s="405"/>
      <c r="BW994" s="405"/>
      <c r="BX994" s="6"/>
      <c r="BY994" s="6"/>
      <c r="BZ994" s="6"/>
      <c r="CA994" s="6"/>
      <c r="CB994" s="6"/>
      <c r="CC994" s="6"/>
      <c r="CD994" s="6"/>
      <c r="CE994" s="6"/>
      <c r="CF994" s="6"/>
      <c r="CG994" s="6"/>
    </row>
    <row r="995" spans="1:85" ht="15.75" customHeight="1">
      <c r="A995" s="553"/>
      <c r="B995" s="223"/>
      <c r="C995" s="554"/>
      <c r="D995" s="223"/>
      <c r="E995" s="505"/>
      <c r="F995" s="505"/>
      <c r="G995" s="402"/>
      <c r="H995" s="505"/>
      <c r="I995" s="555"/>
      <c r="J995" s="555"/>
      <c r="K995" s="505"/>
      <c r="L995" s="404"/>
      <c r="M995" s="405"/>
      <c r="N995" s="505"/>
      <c r="O995" s="405"/>
      <c r="P995" s="405"/>
      <c r="Q995" s="405"/>
      <c r="R995" s="405"/>
      <c r="S995" s="405"/>
      <c r="T995" s="405"/>
      <c r="U995" s="505"/>
      <c r="V995" s="505"/>
      <c r="W995" s="505"/>
      <c r="X995" s="483"/>
      <c r="Y995" s="483"/>
      <c r="Z995" s="483"/>
      <c r="AA995" s="405"/>
      <c r="AB995" s="405"/>
      <c r="AC995" s="405"/>
      <c r="AD995" s="405"/>
      <c r="AE995" s="445"/>
      <c r="AF995" s="445"/>
      <c r="AG995" s="445"/>
      <c r="AH995" s="445"/>
      <c r="AI995" s="405"/>
      <c r="AJ995" s="405"/>
      <c r="AK995" s="405"/>
      <c r="AL995" s="405"/>
      <c r="AM995" s="405"/>
      <c r="AN995" s="405"/>
      <c r="AO995" s="405"/>
      <c r="AP995" s="405"/>
      <c r="AQ995" s="405"/>
      <c r="AR995" s="405"/>
      <c r="AS995" s="405"/>
      <c r="AT995" s="405"/>
      <c r="AU995" s="405"/>
      <c r="AV995" s="405"/>
      <c r="AW995" s="405"/>
      <c r="AX995" s="405"/>
      <c r="AY995" s="405"/>
      <c r="AZ995" s="405"/>
      <c r="BA995" s="405"/>
      <c r="BB995" s="405"/>
      <c r="BC995" s="405"/>
      <c r="BD995" s="405"/>
      <c r="BE995" s="405"/>
      <c r="BF995" s="405"/>
      <c r="BG995" s="405"/>
      <c r="BH995" s="405"/>
      <c r="BI995" s="405"/>
      <c r="BJ995" s="405"/>
      <c r="BK995" s="405"/>
      <c r="BL995" s="405"/>
      <c r="BM995" s="405"/>
      <c r="BN995" s="405"/>
      <c r="BO995" s="405"/>
      <c r="BP995" s="405"/>
      <c r="BQ995" s="405"/>
      <c r="BR995" s="405"/>
      <c r="BS995" s="405"/>
      <c r="BT995" s="405"/>
      <c r="BU995" s="405"/>
      <c r="BV995" s="405"/>
      <c r="BW995" s="405"/>
      <c r="BX995" s="6"/>
      <c r="BY995" s="6"/>
      <c r="BZ995" s="6"/>
      <c r="CA995" s="6"/>
      <c r="CB995" s="6"/>
      <c r="CC995" s="6"/>
      <c r="CD995" s="6"/>
      <c r="CE995" s="6"/>
      <c r="CF995" s="6"/>
      <c r="CG995" s="6"/>
    </row>
    <row r="996" spans="1:85" ht="15.75" customHeight="1">
      <c r="A996" s="553"/>
      <c r="B996" s="223"/>
      <c r="C996" s="554"/>
      <c r="D996" s="223"/>
      <c r="E996" s="505"/>
      <c r="F996" s="505"/>
      <c r="G996" s="402"/>
      <c r="H996" s="505"/>
      <c r="I996" s="555"/>
      <c r="J996" s="555"/>
      <c r="K996" s="505"/>
      <c r="L996" s="404"/>
      <c r="M996" s="405"/>
      <c r="N996" s="505"/>
      <c r="O996" s="405"/>
      <c r="P996" s="405"/>
      <c r="Q996" s="405"/>
      <c r="R996" s="405"/>
      <c r="S996" s="405"/>
      <c r="T996" s="405"/>
      <c r="U996" s="505"/>
      <c r="V996" s="505"/>
      <c r="W996" s="505"/>
      <c r="X996" s="483"/>
      <c r="Y996" s="483"/>
      <c r="Z996" s="483"/>
      <c r="AA996" s="405"/>
      <c r="AB996" s="405"/>
      <c r="AC996" s="405"/>
      <c r="AD996" s="405"/>
      <c r="AE996" s="445"/>
      <c r="AF996" s="445"/>
      <c r="AG996" s="445"/>
      <c r="AH996" s="445"/>
      <c r="AI996" s="405"/>
      <c r="AJ996" s="405"/>
      <c r="AK996" s="405"/>
      <c r="AL996" s="405"/>
      <c r="AM996" s="405"/>
      <c r="AN996" s="405"/>
      <c r="AO996" s="405"/>
      <c r="AP996" s="405"/>
      <c r="AQ996" s="405"/>
      <c r="AR996" s="405"/>
      <c r="AS996" s="405"/>
      <c r="AT996" s="405"/>
      <c r="AU996" s="405"/>
      <c r="AV996" s="405"/>
      <c r="AW996" s="405"/>
      <c r="AX996" s="405"/>
      <c r="AY996" s="405"/>
      <c r="AZ996" s="405"/>
      <c r="BA996" s="405"/>
      <c r="BB996" s="405"/>
      <c r="BC996" s="405"/>
      <c r="BD996" s="405"/>
      <c r="BE996" s="405"/>
      <c r="BF996" s="405"/>
      <c r="BG996" s="405"/>
      <c r="BH996" s="405"/>
      <c r="BI996" s="405"/>
      <c r="BJ996" s="405"/>
      <c r="BK996" s="405"/>
      <c r="BL996" s="405"/>
      <c r="BM996" s="405"/>
      <c r="BN996" s="405"/>
      <c r="BO996" s="405"/>
      <c r="BP996" s="405"/>
      <c r="BQ996" s="405"/>
      <c r="BR996" s="405"/>
      <c r="BS996" s="405"/>
      <c r="BT996" s="405"/>
      <c r="BU996" s="405"/>
      <c r="BV996" s="405"/>
      <c r="BW996" s="405"/>
      <c r="BX996" s="6"/>
      <c r="BY996" s="6"/>
      <c r="BZ996" s="6"/>
      <c r="CA996" s="6"/>
      <c r="CB996" s="6"/>
      <c r="CC996" s="6"/>
      <c r="CD996" s="6"/>
      <c r="CE996" s="6"/>
      <c r="CF996" s="6"/>
      <c r="CG996" s="6"/>
    </row>
    <row r="997" spans="1:85" ht="15.75" customHeight="1">
      <c r="A997" s="553"/>
      <c r="B997" s="223"/>
      <c r="C997" s="554"/>
      <c r="D997" s="223"/>
      <c r="E997" s="505"/>
      <c r="F997" s="505"/>
      <c r="G997" s="402"/>
      <c r="H997" s="505"/>
      <c r="I997" s="555"/>
      <c r="J997" s="555"/>
      <c r="K997" s="505"/>
      <c r="L997" s="404"/>
      <c r="M997" s="405"/>
      <c r="N997" s="505"/>
      <c r="O997" s="405"/>
      <c r="P997" s="405"/>
      <c r="Q997" s="405"/>
      <c r="R997" s="405"/>
      <c r="S997" s="405"/>
      <c r="T997" s="405"/>
      <c r="U997" s="505"/>
      <c r="V997" s="505"/>
      <c r="W997" s="505"/>
      <c r="X997" s="483"/>
      <c r="Y997" s="483"/>
      <c r="Z997" s="483"/>
      <c r="AA997" s="405"/>
      <c r="AB997" s="405"/>
      <c r="AC997" s="405"/>
      <c r="AD997" s="405"/>
      <c r="AE997" s="445"/>
      <c r="AF997" s="445"/>
      <c r="AG997" s="445"/>
      <c r="AH997" s="445"/>
      <c r="AI997" s="405"/>
      <c r="AJ997" s="405"/>
      <c r="AK997" s="405"/>
      <c r="AL997" s="405"/>
      <c r="AM997" s="405"/>
      <c r="AN997" s="405"/>
      <c r="AO997" s="405"/>
      <c r="AP997" s="405"/>
      <c r="AQ997" s="405"/>
      <c r="AR997" s="405"/>
      <c r="AS997" s="405"/>
      <c r="AT997" s="405"/>
      <c r="AU997" s="405"/>
      <c r="AV997" s="405"/>
      <c r="AW997" s="405"/>
      <c r="AX997" s="405"/>
      <c r="AY997" s="405"/>
      <c r="AZ997" s="405"/>
      <c r="BA997" s="405"/>
      <c r="BB997" s="405"/>
      <c r="BC997" s="405"/>
      <c r="BD997" s="405"/>
      <c r="BE997" s="405"/>
      <c r="BF997" s="405"/>
      <c r="BG997" s="405"/>
      <c r="BH997" s="405"/>
      <c r="BI997" s="405"/>
      <c r="BJ997" s="405"/>
      <c r="BK997" s="405"/>
      <c r="BL997" s="405"/>
      <c r="BM997" s="405"/>
      <c r="BN997" s="405"/>
      <c r="BO997" s="405"/>
      <c r="BP997" s="405"/>
      <c r="BQ997" s="405"/>
      <c r="BR997" s="405"/>
      <c r="BS997" s="405"/>
      <c r="BT997" s="405"/>
      <c r="BU997" s="405"/>
      <c r="BV997" s="405"/>
      <c r="BW997" s="405"/>
      <c r="BX997" s="6"/>
      <c r="BY997" s="6"/>
      <c r="BZ997" s="6"/>
      <c r="CA997" s="6"/>
      <c r="CB997" s="6"/>
      <c r="CC997" s="6"/>
      <c r="CD997" s="6"/>
      <c r="CE997" s="6"/>
      <c r="CF997" s="6"/>
      <c r="CG997" s="6"/>
    </row>
    <row r="998" spans="1:85" ht="15.75" customHeight="1">
      <c r="A998" s="553"/>
      <c r="B998" s="223"/>
      <c r="C998" s="554"/>
      <c r="D998" s="223"/>
      <c r="E998" s="505"/>
      <c r="F998" s="505"/>
      <c r="G998" s="402"/>
      <c r="H998" s="505"/>
      <c r="I998" s="555"/>
      <c r="J998" s="555"/>
      <c r="K998" s="505"/>
      <c r="L998" s="404"/>
      <c r="M998" s="405"/>
      <c r="N998" s="505"/>
      <c r="O998" s="405"/>
      <c r="P998" s="405"/>
      <c r="Q998" s="405"/>
      <c r="R998" s="405"/>
      <c r="S998" s="405"/>
      <c r="T998" s="405"/>
      <c r="U998" s="505"/>
      <c r="V998" s="505"/>
      <c r="W998" s="505"/>
      <c r="X998" s="483"/>
      <c r="Y998" s="483"/>
      <c r="Z998" s="483"/>
      <c r="AA998" s="405"/>
      <c r="AB998" s="405"/>
      <c r="AC998" s="405"/>
      <c r="AD998" s="405"/>
      <c r="AE998" s="445"/>
      <c r="AF998" s="445"/>
      <c r="AG998" s="445"/>
      <c r="AH998" s="445"/>
      <c r="AI998" s="405"/>
      <c r="AJ998" s="405"/>
      <c r="AK998" s="405"/>
      <c r="AL998" s="405"/>
      <c r="AM998" s="405"/>
      <c r="AN998" s="405"/>
      <c r="AO998" s="405"/>
      <c r="AP998" s="405"/>
      <c r="AQ998" s="405"/>
      <c r="AR998" s="405"/>
      <c r="AS998" s="405"/>
      <c r="AT998" s="405"/>
      <c r="AU998" s="405"/>
      <c r="AV998" s="405"/>
      <c r="AW998" s="405"/>
      <c r="AX998" s="405"/>
      <c r="AY998" s="405"/>
      <c r="AZ998" s="405"/>
      <c r="BA998" s="405"/>
      <c r="BB998" s="405"/>
      <c r="BC998" s="405"/>
      <c r="BD998" s="405"/>
      <c r="BE998" s="405"/>
      <c r="BF998" s="405"/>
      <c r="BG998" s="405"/>
      <c r="BH998" s="405"/>
      <c r="BI998" s="405"/>
      <c r="BJ998" s="405"/>
      <c r="BK998" s="405"/>
      <c r="BL998" s="405"/>
      <c r="BM998" s="405"/>
      <c r="BN998" s="405"/>
      <c r="BO998" s="405"/>
      <c r="BP998" s="405"/>
      <c r="BQ998" s="405"/>
      <c r="BR998" s="405"/>
      <c r="BS998" s="405"/>
      <c r="BT998" s="405"/>
      <c r="BU998" s="405"/>
      <c r="BV998" s="405"/>
      <c r="BW998" s="405"/>
      <c r="BX998" s="6"/>
      <c r="BY998" s="6"/>
      <c r="BZ998" s="6"/>
      <c r="CA998" s="6"/>
      <c r="CB998" s="6"/>
      <c r="CC998" s="6"/>
      <c r="CD998" s="6"/>
      <c r="CE998" s="6"/>
      <c r="CF998" s="6"/>
      <c r="CG998" s="6"/>
    </row>
    <row r="999" spans="1:85" ht="15.75" customHeight="1">
      <c r="A999" s="553"/>
      <c r="B999" s="223"/>
      <c r="C999" s="554"/>
      <c r="D999" s="223"/>
      <c r="E999" s="505"/>
      <c r="F999" s="505"/>
      <c r="G999" s="402"/>
      <c r="H999" s="505"/>
      <c r="I999" s="555"/>
      <c r="J999" s="555"/>
      <c r="K999" s="505"/>
      <c r="L999" s="404"/>
      <c r="M999" s="405"/>
      <c r="N999" s="505"/>
      <c r="O999" s="405"/>
      <c r="P999" s="405"/>
      <c r="Q999" s="405"/>
      <c r="R999" s="405"/>
      <c r="S999" s="405"/>
      <c r="T999" s="405"/>
      <c r="U999" s="505"/>
      <c r="V999" s="505"/>
      <c r="W999" s="505"/>
      <c r="X999" s="483"/>
      <c r="Y999" s="483"/>
      <c r="Z999" s="483"/>
      <c r="AA999" s="405"/>
      <c r="AB999" s="405"/>
      <c r="AC999" s="405"/>
      <c r="AD999" s="405"/>
      <c r="AE999" s="445"/>
      <c r="AF999" s="445"/>
      <c r="AG999" s="445"/>
      <c r="AH999" s="445"/>
      <c r="AI999" s="405"/>
      <c r="AJ999" s="405"/>
      <c r="AK999" s="405"/>
      <c r="AL999" s="405"/>
      <c r="AM999" s="405"/>
      <c r="AN999" s="405"/>
      <c r="AO999" s="405"/>
      <c r="AP999" s="405"/>
      <c r="AQ999" s="405"/>
      <c r="AR999" s="405"/>
      <c r="AS999" s="405"/>
      <c r="AT999" s="405"/>
      <c r="AU999" s="405"/>
      <c r="AV999" s="405"/>
      <c r="AW999" s="405"/>
      <c r="AX999" s="405"/>
      <c r="AY999" s="405"/>
      <c r="AZ999" s="405"/>
      <c r="BA999" s="405"/>
      <c r="BB999" s="405"/>
      <c r="BC999" s="405"/>
      <c r="BD999" s="405"/>
      <c r="BE999" s="405"/>
      <c r="BF999" s="405"/>
      <c r="BG999" s="405"/>
      <c r="BH999" s="405"/>
      <c r="BI999" s="405"/>
      <c r="BJ999" s="405"/>
      <c r="BK999" s="405"/>
      <c r="BL999" s="405"/>
      <c r="BM999" s="405"/>
      <c r="BN999" s="405"/>
      <c r="BO999" s="405"/>
      <c r="BP999" s="405"/>
      <c r="BQ999" s="405"/>
      <c r="BR999" s="405"/>
      <c r="BS999" s="405"/>
      <c r="BT999" s="405"/>
      <c r="BU999" s="405"/>
      <c r="BV999" s="405"/>
      <c r="BW999" s="405"/>
      <c r="BX999" s="6"/>
      <c r="BY999" s="6"/>
      <c r="BZ999" s="6"/>
      <c r="CA999" s="6"/>
      <c r="CB999" s="6"/>
      <c r="CC999" s="6"/>
      <c r="CD999" s="6"/>
      <c r="CE999" s="6"/>
      <c r="CF999" s="6"/>
      <c r="CG999" s="6"/>
    </row>
    <row r="1000" spans="1:85" ht="15.75" customHeight="1">
      <c r="A1000" s="553"/>
      <c r="B1000" s="223"/>
      <c r="C1000" s="554"/>
      <c r="D1000" s="223"/>
      <c r="E1000" s="505"/>
      <c r="F1000" s="505"/>
      <c r="G1000" s="402"/>
      <c r="H1000" s="505"/>
      <c r="I1000" s="555"/>
      <c r="J1000" s="555"/>
      <c r="K1000" s="505"/>
      <c r="L1000" s="404"/>
      <c r="M1000" s="405"/>
      <c r="N1000" s="505"/>
      <c r="O1000" s="405"/>
      <c r="P1000" s="405"/>
      <c r="Q1000" s="405"/>
      <c r="R1000" s="405"/>
      <c r="S1000" s="405"/>
      <c r="T1000" s="405"/>
      <c r="U1000" s="505"/>
      <c r="V1000" s="505"/>
      <c r="W1000" s="505"/>
      <c r="X1000" s="483"/>
      <c r="Y1000" s="483"/>
      <c r="Z1000" s="483"/>
      <c r="AA1000" s="405"/>
      <c r="AB1000" s="405"/>
      <c r="AC1000" s="405"/>
      <c r="AD1000" s="405"/>
      <c r="AE1000" s="445"/>
      <c r="AF1000" s="445"/>
      <c r="AG1000" s="445"/>
      <c r="AH1000" s="445"/>
      <c r="AI1000" s="405"/>
      <c r="AJ1000" s="405"/>
      <c r="AK1000" s="405"/>
      <c r="AL1000" s="405"/>
      <c r="AM1000" s="405"/>
      <c r="AN1000" s="405"/>
      <c r="AO1000" s="405"/>
      <c r="AP1000" s="405"/>
      <c r="AQ1000" s="405"/>
      <c r="AR1000" s="405"/>
      <c r="AS1000" s="405"/>
      <c r="AT1000" s="405"/>
      <c r="AU1000" s="405"/>
      <c r="AV1000" s="405"/>
      <c r="AW1000" s="405"/>
      <c r="AX1000" s="405"/>
      <c r="AY1000" s="405"/>
      <c r="AZ1000" s="405"/>
      <c r="BA1000" s="405"/>
      <c r="BB1000" s="405"/>
      <c r="BC1000" s="405"/>
      <c r="BD1000" s="405"/>
      <c r="BE1000" s="405"/>
      <c r="BF1000" s="405"/>
      <c r="BG1000" s="405"/>
      <c r="BH1000" s="405"/>
      <c r="BI1000" s="405"/>
      <c r="BJ1000" s="405"/>
      <c r="BK1000" s="405"/>
      <c r="BL1000" s="405"/>
      <c r="BM1000" s="405"/>
      <c r="BN1000" s="405"/>
      <c r="BO1000" s="405"/>
      <c r="BP1000" s="405"/>
      <c r="BQ1000" s="405"/>
      <c r="BR1000" s="405"/>
      <c r="BS1000" s="405"/>
      <c r="BT1000" s="405"/>
      <c r="BU1000" s="405"/>
      <c r="BV1000" s="405"/>
      <c r="BW1000" s="405"/>
      <c r="BX1000" s="6"/>
      <c r="BY1000" s="6"/>
      <c r="BZ1000" s="6"/>
      <c r="CA1000" s="6"/>
      <c r="CB1000" s="6"/>
      <c r="CC1000" s="6"/>
      <c r="CD1000" s="6"/>
      <c r="CE1000" s="6"/>
      <c r="CF1000" s="6"/>
      <c r="CG1000" s="6"/>
    </row>
    <row r="1001" spans="1:85" ht="15.75" customHeight="1">
      <c r="A1001" s="553"/>
      <c r="B1001" s="223"/>
      <c r="C1001" s="554"/>
      <c r="D1001" s="223"/>
      <c r="E1001" s="505"/>
      <c r="F1001" s="505"/>
      <c r="G1001" s="402"/>
      <c r="H1001" s="505"/>
      <c r="I1001" s="555"/>
      <c r="J1001" s="555"/>
      <c r="K1001" s="505"/>
      <c r="L1001" s="404"/>
      <c r="M1001" s="405"/>
      <c r="N1001" s="505"/>
      <c r="O1001" s="405"/>
      <c r="P1001" s="405"/>
      <c r="Q1001" s="405"/>
      <c r="R1001" s="405"/>
      <c r="S1001" s="405"/>
      <c r="T1001" s="405"/>
      <c r="U1001" s="505"/>
      <c r="V1001" s="505"/>
      <c r="W1001" s="505"/>
      <c r="X1001" s="483"/>
      <c r="Y1001" s="483"/>
      <c r="Z1001" s="483"/>
      <c r="AA1001" s="405"/>
      <c r="AB1001" s="405"/>
      <c r="AC1001" s="405"/>
      <c r="AD1001" s="405"/>
      <c r="AE1001" s="556"/>
      <c r="AF1001" s="556"/>
      <c r="AG1001" s="556"/>
      <c r="AH1001" s="556"/>
      <c r="AI1001" s="405"/>
      <c r="AJ1001" s="405"/>
      <c r="AK1001" s="405"/>
      <c r="AL1001" s="405"/>
      <c r="AM1001" s="405"/>
      <c r="AN1001" s="405"/>
      <c r="AO1001" s="405"/>
      <c r="AP1001" s="405"/>
      <c r="AQ1001" s="405"/>
      <c r="AR1001" s="405"/>
      <c r="AS1001" s="405"/>
      <c r="AT1001" s="405"/>
      <c r="AU1001" s="405"/>
      <c r="AV1001" s="405"/>
      <c r="AW1001" s="405"/>
      <c r="AX1001" s="405"/>
      <c r="AY1001" s="405"/>
      <c r="AZ1001" s="405"/>
      <c r="BA1001" s="405"/>
      <c r="BB1001" s="405"/>
      <c r="BC1001" s="405"/>
      <c r="BD1001" s="405"/>
      <c r="BE1001" s="405"/>
      <c r="BF1001" s="405"/>
      <c r="BG1001" s="405"/>
      <c r="BH1001" s="405"/>
      <c r="BI1001" s="405"/>
      <c r="BJ1001" s="405"/>
      <c r="BK1001" s="405"/>
      <c r="BL1001" s="405"/>
      <c r="BM1001" s="405"/>
      <c r="BN1001" s="405"/>
      <c r="BO1001" s="405"/>
      <c r="BP1001" s="405"/>
      <c r="BQ1001" s="405"/>
      <c r="BR1001" s="405"/>
      <c r="BS1001" s="405"/>
      <c r="BT1001" s="405"/>
      <c r="BU1001" s="405"/>
      <c r="BV1001" s="405"/>
      <c r="BW1001" s="405"/>
      <c r="BX1001" s="6"/>
      <c r="BY1001" s="6"/>
      <c r="BZ1001" s="6"/>
      <c r="CA1001" s="6"/>
      <c r="CB1001" s="6"/>
      <c r="CC1001" s="6"/>
      <c r="CD1001" s="6"/>
      <c r="CE1001" s="6"/>
      <c r="CF1001" s="6"/>
      <c r="CG1001" s="6"/>
    </row>
    <row r="1002" spans="1:85" ht="15.75" customHeight="1">
      <c r="A1002" s="553"/>
      <c r="B1002" s="223"/>
      <c r="C1002" s="554"/>
      <c r="D1002" s="223"/>
      <c r="E1002" s="505"/>
      <c r="F1002" s="505"/>
      <c r="G1002" s="402"/>
      <c r="H1002" s="505"/>
      <c r="I1002" s="555"/>
      <c r="J1002" s="555"/>
      <c r="K1002" s="505"/>
      <c r="L1002" s="404"/>
      <c r="M1002" s="405"/>
      <c r="N1002" s="505"/>
      <c r="O1002" s="405"/>
      <c r="P1002" s="405"/>
      <c r="Q1002" s="405"/>
      <c r="R1002" s="405"/>
      <c r="S1002" s="405"/>
      <c r="T1002" s="405"/>
      <c r="U1002" s="505"/>
      <c r="V1002" s="505"/>
      <c r="W1002" s="505"/>
      <c r="X1002" s="483"/>
      <c r="Y1002" s="483"/>
      <c r="Z1002" s="483"/>
      <c r="AA1002" s="405"/>
      <c r="AB1002" s="405"/>
      <c r="AC1002" s="405"/>
      <c r="AD1002" s="405"/>
      <c r="AE1002" s="556"/>
      <c r="AF1002" s="556"/>
      <c r="AG1002" s="556"/>
      <c r="AH1002" s="556"/>
      <c r="AI1002" s="405"/>
      <c r="AJ1002" s="405"/>
      <c r="AK1002" s="405"/>
      <c r="AL1002" s="405"/>
      <c r="AM1002" s="405"/>
      <c r="AN1002" s="405"/>
      <c r="AO1002" s="405"/>
      <c r="AP1002" s="405"/>
      <c r="AQ1002" s="405"/>
      <c r="AR1002" s="405"/>
      <c r="AS1002" s="405"/>
      <c r="AT1002" s="405"/>
      <c r="AU1002" s="405"/>
      <c r="AV1002" s="405"/>
      <c r="AW1002" s="405"/>
      <c r="AX1002" s="405"/>
      <c r="AY1002" s="405"/>
      <c r="AZ1002" s="405"/>
      <c r="BA1002" s="405"/>
      <c r="BB1002" s="405"/>
      <c r="BC1002" s="405"/>
      <c r="BD1002" s="405"/>
      <c r="BE1002" s="405"/>
      <c r="BF1002" s="405"/>
      <c r="BG1002" s="405"/>
      <c r="BH1002" s="405"/>
      <c r="BI1002" s="405"/>
      <c r="BJ1002" s="405"/>
      <c r="BK1002" s="405"/>
      <c r="BL1002" s="405"/>
      <c r="BM1002" s="405"/>
      <c r="BN1002" s="405"/>
      <c r="BO1002" s="405"/>
      <c r="BP1002" s="405"/>
      <c r="BQ1002" s="405"/>
      <c r="BR1002" s="405"/>
      <c r="BS1002" s="405"/>
      <c r="BT1002" s="405"/>
      <c r="BU1002" s="405"/>
      <c r="BV1002" s="405"/>
      <c r="BW1002" s="405"/>
      <c r="BX1002" s="6"/>
      <c r="BY1002" s="6"/>
      <c r="BZ1002" s="6"/>
      <c r="CA1002" s="6"/>
      <c r="CB1002" s="6"/>
      <c r="CC1002" s="6"/>
      <c r="CD1002" s="6"/>
      <c r="CE1002" s="6"/>
      <c r="CF1002" s="6"/>
      <c r="CG1002" s="6"/>
    </row>
    <row r="1003" spans="1:85" ht="15.75" customHeight="1">
      <c r="A1003" s="89"/>
      <c r="B1003" s="89"/>
      <c r="C1003" s="89"/>
      <c r="D1003" s="223"/>
      <c r="E1003" s="505"/>
      <c r="F1003" s="505"/>
      <c r="G1003" s="402"/>
      <c r="H1003" s="505"/>
      <c r="I1003" s="555"/>
      <c r="J1003" s="555"/>
      <c r="K1003" s="505"/>
      <c r="L1003" s="404"/>
      <c r="M1003" s="405"/>
      <c r="N1003" s="505"/>
      <c r="O1003" s="405"/>
      <c r="P1003" s="405"/>
      <c r="Q1003" s="405"/>
      <c r="R1003" s="405"/>
      <c r="S1003" s="405"/>
      <c r="T1003" s="405"/>
      <c r="U1003" s="505"/>
      <c r="V1003" s="505"/>
      <c r="W1003" s="505"/>
      <c r="X1003" s="483"/>
      <c r="Y1003" s="483"/>
      <c r="Z1003" s="483"/>
      <c r="AA1003" s="405"/>
      <c r="AB1003" s="405"/>
      <c r="AC1003" s="405"/>
      <c r="AD1003" s="405"/>
      <c r="AE1003" s="556"/>
      <c r="AF1003" s="556"/>
      <c r="AG1003" s="556"/>
      <c r="AH1003" s="556"/>
      <c r="AI1003" s="405"/>
      <c r="AJ1003" s="405"/>
      <c r="AK1003" s="405"/>
      <c r="AL1003" s="405"/>
      <c r="AM1003" s="405"/>
      <c r="AN1003" s="405"/>
      <c r="AO1003" s="405"/>
      <c r="AP1003" s="405"/>
      <c r="AQ1003" s="405"/>
      <c r="AR1003" s="405"/>
      <c r="AS1003" s="405"/>
      <c r="AT1003" s="405"/>
      <c r="AU1003" s="405"/>
      <c r="AV1003" s="405"/>
      <c r="AW1003" s="405"/>
      <c r="AX1003" s="405"/>
      <c r="AY1003" s="405"/>
      <c r="AZ1003" s="405"/>
      <c r="BA1003" s="405"/>
      <c r="BB1003" s="405"/>
      <c r="BC1003" s="405"/>
      <c r="BD1003" s="405"/>
      <c r="BE1003" s="405"/>
      <c r="BF1003" s="405"/>
      <c r="BG1003" s="405"/>
      <c r="BH1003" s="405"/>
      <c r="BI1003" s="405"/>
      <c r="BJ1003" s="405"/>
      <c r="BK1003" s="405"/>
      <c r="BL1003" s="405"/>
      <c r="BM1003" s="405"/>
      <c r="BN1003" s="405"/>
      <c r="BO1003" s="405"/>
      <c r="BP1003" s="405"/>
      <c r="BQ1003" s="405"/>
      <c r="BR1003" s="405"/>
      <c r="BS1003" s="405"/>
      <c r="BT1003" s="405"/>
      <c r="BU1003" s="405"/>
      <c r="BV1003" s="405"/>
      <c r="BW1003" s="405"/>
      <c r="BX1003" s="6"/>
      <c r="BY1003" s="6"/>
      <c r="BZ1003" s="6"/>
      <c r="CA1003" s="6"/>
      <c r="CB1003" s="6"/>
      <c r="CC1003" s="6"/>
      <c r="CD1003" s="6"/>
      <c r="CE1003" s="6"/>
      <c r="CF1003" s="6"/>
      <c r="CG1003" s="6"/>
    </row>
    <row r="1004" spans="1:85" ht="15.75" customHeight="1">
      <c r="A1004" s="89"/>
      <c r="B1004" s="89"/>
      <c r="C1004" s="89"/>
      <c r="D1004" s="223"/>
      <c r="E1004" s="505"/>
      <c r="F1004" s="505"/>
      <c r="G1004" s="402"/>
      <c r="H1004" s="505"/>
      <c r="I1004" s="555"/>
      <c r="J1004" s="555"/>
      <c r="R1004" s="405"/>
      <c r="S1004" s="405"/>
      <c r="T1004" s="405"/>
      <c r="U1004" s="505"/>
      <c r="V1004" s="505"/>
      <c r="W1004" s="505"/>
      <c r="X1004" s="483"/>
      <c r="Y1004" s="483"/>
      <c r="Z1004" s="483"/>
      <c r="AA1004" s="405"/>
      <c r="AB1004" s="405"/>
      <c r="AC1004" s="405"/>
      <c r="AD1004" s="405"/>
      <c r="AE1004" s="556"/>
      <c r="AF1004" s="556"/>
      <c r="AG1004" s="556"/>
      <c r="AH1004" s="556"/>
      <c r="AI1004" s="405"/>
      <c r="AJ1004" s="405"/>
      <c r="AK1004" s="405"/>
      <c r="AL1004" s="405"/>
      <c r="AM1004" s="405"/>
      <c r="AN1004" s="405"/>
      <c r="AO1004" s="405"/>
      <c r="AP1004" s="405"/>
      <c r="AQ1004" s="405"/>
      <c r="AR1004" s="405"/>
      <c r="AS1004" s="405"/>
      <c r="AT1004" s="405"/>
      <c r="AU1004" s="405"/>
      <c r="AV1004" s="405"/>
      <c r="AW1004" s="405"/>
      <c r="AX1004" s="405"/>
      <c r="AY1004" s="405"/>
      <c r="AZ1004" s="405"/>
      <c r="BA1004" s="405"/>
      <c r="BB1004" s="405"/>
      <c r="BC1004" s="405"/>
      <c r="BD1004" s="405"/>
      <c r="BE1004" s="405"/>
      <c r="BF1004" s="405"/>
      <c r="BG1004" s="405"/>
      <c r="BH1004" s="405"/>
      <c r="BI1004" s="405"/>
      <c r="BJ1004" s="405"/>
      <c r="BK1004" s="405"/>
      <c r="BL1004" s="405"/>
      <c r="BM1004" s="405"/>
      <c r="BN1004" s="405"/>
      <c r="BO1004" s="405"/>
      <c r="BP1004" s="405"/>
      <c r="BQ1004" s="405"/>
      <c r="BR1004" s="405"/>
      <c r="BS1004" s="405"/>
      <c r="BT1004" s="405"/>
      <c r="BU1004" s="405"/>
      <c r="BV1004" s="405"/>
      <c r="BW1004" s="405"/>
      <c r="BX1004" s="6"/>
      <c r="BY1004" s="6"/>
      <c r="BZ1004" s="6"/>
      <c r="CA1004" s="6"/>
      <c r="CB1004" s="6"/>
      <c r="CC1004" s="6"/>
      <c r="CD1004" s="6"/>
      <c r="CE1004" s="6"/>
      <c r="CF1004" s="6"/>
      <c r="CG1004" s="6"/>
    </row>
    <row r="1005" spans="1:85" ht="15.75" customHeight="1">
      <c r="A1005" s="89"/>
      <c r="B1005" s="89"/>
      <c r="C1005" s="89"/>
      <c r="D1005" s="223"/>
      <c r="E1005" s="505"/>
      <c r="F1005" s="505"/>
      <c r="G1005" s="402"/>
      <c r="H1005" s="505"/>
      <c r="I1005" s="555"/>
      <c r="J1005" s="555"/>
      <c r="R1005" s="405"/>
      <c r="S1005" s="405"/>
      <c r="T1005" s="405"/>
      <c r="U1005" s="505"/>
      <c r="V1005" s="505"/>
      <c r="W1005" s="505"/>
      <c r="X1005" s="483"/>
      <c r="Y1005" s="483"/>
      <c r="Z1005" s="483"/>
      <c r="AP1005" s="405"/>
      <c r="AQ1005" s="405"/>
      <c r="AR1005" s="405"/>
      <c r="AS1005" s="405"/>
      <c r="AT1005" s="405"/>
      <c r="AU1005" s="405"/>
      <c r="AV1005" s="405"/>
      <c r="AW1005" s="405"/>
      <c r="AX1005" s="405"/>
      <c r="AY1005" s="405"/>
      <c r="AZ1005" s="405"/>
      <c r="BA1005" s="405"/>
      <c r="BB1005" s="405"/>
      <c r="BC1005" s="405"/>
      <c r="BD1005" s="405"/>
      <c r="BE1005" s="405"/>
      <c r="BF1005" s="405"/>
      <c r="BG1005" s="405"/>
      <c r="BH1005" s="405"/>
      <c r="BI1005" s="405"/>
      <c r="BJ1005" s="405"/>
      <c r="BK1005" s="405"/>
      <c r="BL1005" s="405"/>
      <c r="BM1005" s="405"/>
      <c r="BN1005" s="405"/>
      <c r="BO1005" s="405"/>
      <c r="BP1005" s="405"/>
      <c r="BQ1005" s="405"/>
      <c r="BR1005" s="405"/>
      <c r="BS1005" s="405"/>
      <c r="BT1005" s="405"/>
      <c r="BU1005" s="405"/>
      <c r="BV1005" s="405"/>
      <c r="BW1005" s="405"/>
      <c r="BX1005" s="6"/>
      <c r="BY1005" s="6"/>
      <c r="BZ1005" s="6"/>
      <c r="CA1005" s="6"/>
      <c r="CB1005" s="6"/>
      <c r="CC1005" s="6"/>
      <c r="CD1005" s="6"/>
      <c r="CE1005" s="6"/>
      <c r="CF1005" s="6"/>
      <c r="CG1005" s="6"/>
    </row>
  </sheetData>
  <sheetProtection sheet="1" objects="1" scenarios="1" selectLockedCells="1" selectUnlockedCells="1"/>
  <customSheetViews>
    <customSheetView guid="{CCE0B0EF-5060-4AE1-88F1-7581E79D2DE0}" filter="1" showAutoFilter="1">
      <pageMargins left="0.511811024" right="0.511811024" top="0.78740157499999996" bottom="0.78740157499999996" header="0.31496062000000002" footer="0.31496062000000002"/>
      <autoFilter ref="C1:C1001"/>
      <extLst>
        <ext uri="GoogleSheetsCustomDataVersion1">
          <go:sheetsCustomData xmlns:go="http://customooxmlschemas.google.com/" filterViewId="261753600"/>
        </ext>
      </extLst>
    </customSheetView>
  </customSheetViews>
  <mergeCells count="58">
    <mergeCell ref="AL788:AO788"/>
    <mergeCell ref="AD789:AF789"/>
    <mergeCell ref="A2:B2"/>
    <mergeCell ref="BE782:BJ782"/>
    <mergeCell ref="BK782:BP782"/>
    <mergeCell ref="BQ782:BV782"/>
    <mergeCell ref="E1:J1"/>
    <mergeCell ref="I782:J782"/>
    <mergeCell ref="AA782:AF782"/>
    <mergeCell ref="AG782:AL782"/>
    <mergeCell ref="AM782:AR782"/>
    <mergeCell ref="AS782:AX782"/>
    <mergeCell ref="AY782:BD782"/>
    <mergeCell ref="BV1:BV2"/>
    <mergeCell ref="BW1:BW2"/>
    <mergeCell ref="AY1:BA1"/>
    <mergeCell ref="BB1:BD1"/>
    <mergeCell ref="BE1:BG1"/>
    <mergeCell ref="BH1:BJ1"/>
    <mergeCell ref="BK1:BM1"/>
    <mergeCell ref="BN1:BP1"/>
    <mergeCell ref="BQ1:BS1"/>
    <mergeCell ref="AP1:AR1"/>
    <mergeCell ref="AS1:AU1"/>
    <mergeCell ref="AV1:AX1"/>
    <mergeCell ref="BT1:BT2"/>
    <mergeCell ref="BU1:BU2"/>
    <mergeCell ref="D795:D800"/>
    <mergeCell ref="AD1:AF1"/>
    <mergeCell ref="AG1:AI1"/>
    <mergeCell ref="AJ1:AL1"/>
    <mergeCell ref="AM1:AO1"/>
    <mergeCell ref="K1:N1"/>
    <mergeCell ref="O1:Q1"/>
    <mergeCell ref="R1:T1"/>
    <mergeCell ref="U1:W1"/>
    <mergeCell ref="X1:Z1"/>
    <mergeCell ref="AA1:AC1"/>
    <mergeCell ref="K788:N788"/>
    <mergeCell ref="O788:P788"/>
    <mergeCell ref="AA788:AC788"/>
    <mergeCell ref="AD788:AG788"/>
    <mergeCell ref="AH788:AK788"/>
    <mergeCell ref="AH797:AJ797"/>
    <mergeCell ref="AL797:AN797"/>
    <mergeCell ref="AA789:AB789"/>
    <mergeCell ref="AA790:AB790"/>
    <mergeCell ref="U791:W796"/>
    <mergeCell ref="AA791:AB791"/>
    <mergeCell ref="AA792:AB792"/>
    <mergeCell ref="AA793:AB793"/>
    <mergeCell ref="AA794:AB794"/>
    <mergeCell ref="AA795:AB795"/>
    <mergeCell ref="AA798:AF798"/>
    <mergeCell ref="AA796:AB796"/>
    <mergeCell ref="K797:L797"/>
    <mergeCell ref="AA797:AB797"/>
    <mergeCell ref="AD797:AF797"/>
  </mergeCells>
  <conditionalFormatting sqref="I3:J182 X3:Z182 I184:J184 X184:Z184 I186:J292 X187:Z292 I294:J771 X294:Z771 I773:J780 X773:Z780 X800:Z816 I803:J816">
    <cfRule type="cellIs" dxfId="79" priority="1" operator="between">
      <formula>"0%"</formula>
      <formula>"25%"</formula>
    </cfRule>
  </conditionalFormatting>
  <conditionalFormatting sqref="I3:J182 X3:Z182 I184:J184 X184:Z184 I186:J292 X187:Z292 I294:J771 X294:Z771 I773:J780 X773:Z780 X800:Z816 I803:J816">
    <cfRule type="cellIs" dxfId="78" priority="2" operator="between">
      <formula>"25.01%"</formula>
      <formula>"50%"</formula>
    </cfRule>
  </conditionalFormatting>
  <conditionalFormatting sqref="I3:J182 X3:Z182 I184:J184 X184:Z184 I186:J292 X187:Z292 I294:J771 X294:Z771 I773:J780 X773:Z780 X800:Z816 I803:J816">
    <cfRule type="cellIs" dxfId="77" priority="3" operator="between">
      <formula>"50.01%"</formula>
      <formula>"75%"</formula>
    </cfRule>
  </conditionalFormatting>
  <conditionalFormatting sqref="I3:J182 X3:Z182 I184:J184 X184:Z184 I186:J292 X187:Z292 I294:J771 X294:Z771 I773:J780 X773:Z780 X800:Z816 I803:J816">
    <cfRule type="cellIs" dxfId="76" priority="4" operator="between">
      <formula>"75.01%"</formula>
      <formula>"99.99%"</formula>
    </cfRule>
  </conditionalFormatting>
  <conditionalFormatting sqref="I3:J182 X3:Z182 I184:J184 X184:Z184 I186:J292 X187:Z292 I294:J771 X294:Z771 I773:J780 X773:Z780 X800:Z816 I803:J816">
    <cfRule type="cellIs" dxfId="75" priority="5" operator="greaterThanOrEqual">
      <formula>"100%"</formula>
    </cfRule>
  </conditionalFormatting>
  <conditionalFormatting sqref="I349:J349">
    <cfRule type="cellIs" dxfId="74" priority="6" operator="between">
      <formula>"0%"</formula>
      <formula>"25%"</formula>
    </cfRule>
  </conditionalFormatting>
  <conditionalFormatting sqref="I349:J349">
    <cfRule type="cellIs" dxfId="73" priority="7" operator="between">
      <formula>"25.01%"</formula>
      <formula>"50%"</formula>
    </cfRule>
  </conditionalFormatting>
  <conditionalFormatting sqref="I349:J349">
    <cfRule type="cellIs" dxfId="72" priority="8" operator="between">
      <formula>"50.01%"</formula>
      <formula>"75%"</formula>
    </cfRule>
  </conditionalFormatting>
  <conditionalFormatting sqref="I349:J349">
    <cfRule type="cellIs" dxfId="71" priority="9" operator="between">
      <formula>"75.01%"</formula>
      <formula>"99.99%"</formula>
    </cfRule>
  </conditionalFormatting>
  <conditionalFormatting sqref="I349:J349">
    <cfRule type="cellIs" dxfId="70" priority="10" operator="greaterThanOrEqual">
      <formula>"100%"</formula>
    </cfRule>
  </conditionalFormatting>
  <conditionalFormatting sqref="X292:Z293 X304:Z304 X306:Z306 X315:Z315 X317:Z317 X320:Z320 X322:Z322 X337:Z337 X347:Z347 X357:Z357 X366:Z368 X391:Z391 X398:Z398 X404:Z404 X418:Z418 X421:Z421 X486:Z488 X516:Z524 X541:Z541 X634:Z635">
    <cfRule type="cellIs" dxfId="69" priority="11" operator="between">
      <formula>"0%"</formula>
      <formula>"25%"</formula>
    </cfRule>
  </conditionalFormatting>
  <conditionalFormatting sqref="X292:Z293 X304:Z304 X306:Z306 X315:Z315 X317:Z317 X320:Z320 X322:Z322 X337:Z337 X347:Z347 X357:Z357 X366:Z368 X391:Z391 X398:Z398 X404:Z404 X418:Z418 X421:Z421 X486:Z488 X516:Z524 X541:Z541 X634:Z635">
    <cfRule type="cellIs" dxfId="68" priority="12" operator="between">
      <formula>"25.01%"</formula>
      <formula>"50%"</formula>
    </cfRule>
  </conditionalFormatting>
  <conditionalFormatting sqref="X292:Z293 X304:Z304 X306:Z306 X315:Z315 X317:Z317 X320:Z320 X322:Z322 X337:Z337 X347:Z347 X357:Z357 X366:Z368 X391:Z391 X398:Z398 X404:Z404 X418:Z418 X421:Z421 X486:Z488 X516:Z524 X541:Z541 X634:Z635">
    <cfRule type="cellIs" dxfId="67" priority="13" operator="between">
      <formula>"50.01%"</formula>
      <formula>"75%"</formula>
    </cfRule>
  </conditionalFormatting>
  <conditionalFormatting sqref="X292:Z293 X304:Z304 X306:Z306 X315:Z315 X317:Z317 X320:Z320 X322:Z322 X337:Z337 X347:Z347 X357:Z357 X366:Z368 X391:Z391 X398:Z398 X404:Z404 X418:Z418 X421:Z421 X486:Z488 X516:Z524 X541:Z541 X634:Z635">
    <cfRule type="cellIs" dxfId="66" priority="14" operator="between">
      <formula>"75.01%"</formula>
      <formula>"99.99%"</formula>
    </cfRule>
  </conditionalFormatting>
  <conditionalFormatting sqref="X292:Z293 X304:Z304 X306:Z306 X315:Z315 X317:Z317 X320:Z320 X322:Z322 X337:Z337 X347:Z347 X357:Z357 X366:Z368 X391:Z391 X398:Z398 X404:Z404 X418:Z418 X421:Z421 X486:Z488 X516:Z524 X541:Z541 X634:Z635">
    <cfRule type="cellIs" dxfId="65" priority="15" operator="greaterThanOrEqual">
      <formula>"100%"</formula>
    </cfRule>
  </conditionalFormatting>
  <conditionalFormatting sqref="I292:J293 I304:J304 I306:J306 I315:J315 I317:J317 I320:J320 I322:J322 I337:J337 I347:J347 I357:J357 I366:J368 I391:J391 I398:J398 I404:J404 I418:J418 I421:J421 I486:J488 I516:J524 I541:J541 I634:J635">
    <cfRule type="cellIs" dxfId="64" priority="16" operator="between">
      <formula>"0%"</formula>
      <formula>"25%"</formula>
    </cfRule>
  </conditionalFormatting>
  <conditionalFormatting sqref="I292:J293 I304:J304 I306:J306 I315:J315 I317:J317 I320:J320 I322:J322 I337:J337 I347:J347 I357:J357 I366:J368 I391:J391 I398:J398 I404:J404 I418:J418 I421:J421 I486:J488 I516:J524 I541:J541 I634:J635">
    <cfRule type="cellIs" dxfId="63" priority="17" operator="between">
      <formula>"25.01%"</formula>
      <formula>"50%"</formula>
    </cfRule>
  </conditionalFormatting>
  <conditionalFormatting sqref="I292:J293 I304:J304 I306:J306 I315:J315 I317:J317 I320:J320 I322:J322 I337:J337 I347:J347 I357:J357 I366:J368 I391:J391 I398:J398 I404:J404 I418:J418 I421:J421 I486:J488 I516:J524 I541:J541 I634:J635">
    <cfRule type="cellIs" dxfId="62" priority="18" operator="between">
      <formula>"50.01%"</formula>
      <formula>"75%"</formula>
    </cfRule>
  </conditionalFormatting>
  <conditionalFormatting sqref="I292:J293 I304:J304 I306:J306 I315:J315 I317:J317 I320:J320 I322:J322 I337:J337 I347:J347 I357:J357 I366:J368 I391:J391 I398:J398 I404:J404 I418:J418 I421:J421 I486:J488 I516:J524 I541:J541 I634:J635">
    <cfRule type="cellIs" dxfId="61" priority="19" operator="between">
      <formula>"75.01%"</formula>
      <formula>"99.99%"</formula>
    </cfRule>
  </conditionalFormatting>
  <conditionalFormatting sqref="I292:J293 I304:J304 I306:J306 I315:J315 I317:J317 I320:J320 I322:J322 I337:J337 I347:J347 I357:J357 I366:J368 I391:J391 I398:J398 I404:J404 I418:J418 I421:J421 I486:J488 I516:J524 I541:J541 I634:J635">
    <cfRule type="cellIs" dxfId="60" priority="20" operator="greaterThanOrEqual">
      <formula>"100%"</formula>
    </cfRule>
  </conditionalFormatting>
  <conditionalFormatting sqref="I333:J333 I340:J348 I353:J353">
    <cfRule type="cellIs" dxfId="59" priority="21" operator="between">
      <formula>"0%"</formula>
      <formula>"25%"</formula>
    </cfRule>
  </conditionalFormatting>
  <conditionalFormatting sqref="I333:J333 I340:J348 I353:J353">
    <cfRule type="cellIs" dxfId="58" priority="22" operator="between">
      <formula>"25.01%"</formula>
      <formula>"50%"</formula>
    </cfRule>
  </conditionalFormatting>
  <conditionalFormatting sqref="I333:J333 I340:J348 I353:J353">
    <cfRule type="cellIs" dxfId="57" priority="23" operator="between">
      <formula>"50.01%"</formula>
      <formula>"75%"</formula>
    </cfRule>
  </conditionalFormatting>
  <conditionalFormatting sqref="I333:J333 I340:J348 I353:J353">
    <cfRule type="cellIs" dxfId="56" priority="24" operator="between">
      <formula>"75.01%"</formula>
      <formula>"99.99%"</formula>
    </cfRule>
  </conditionalFormatting>
  <conditionalFormatting sqref="I333:J333 I340:J348 I353:J353">
    <cfRule type="cellIs" dxfId="55" priority="25" operator="greaterThanOrEqual">
      <formula>"100%"</formula>
    </cfRule>
  </conditionalFormatting>
  <conditionalFormatting sqref="I350:J358 I360:J363 I532:J532 I539:J539 I541:J541 I544:J544 I550:J550 I567:J567">
    <cfRule type="cellIs" dxfId="54" priority="26" operator="between">
      <formula>"0%"</formula>
      <formula>"25%"</formula>
    </cfRule>
  </conditionalFormatting>
  <conditionalFormatting sqref="I350:J358 I360:J363 I532:J532 I539:J539 I541:J541 I544:J544 I550:J550 I567:J567">
    <cfRule type="cellIs" dxfId="53" priority="27" operator="between">
      <formula>"25.01%"</formula>
      <formula>"50%"</formula>
    </cfRule>
  </conditionalFormatting>
  <conditionalFormatting sqref="I350:J358 I360:J363 I532:J532 I539:J539 I541:J541 I544:J544 I550:J550 I567:J567">
    <cfRule type="cellIs" dxfId="52" priority="28" operator="between">
      <formula>"50.01%"</formula>
      <formula>"75%"</formula>
    </cfRule>
  </conditionalFormatting>
  <conditionalFormatting sqref="I350:J358 I360:J363 I532:J532 I539:J539 I541:J541 I544:J544 I550:J550 I567:J567">
    <cfRule type="cellIs" dxfId="51" priority="29" operator="between">
      <formula>"75.01%"</formula>
      <formula>"99.99%"</formula>
    </cfRule>
  </conditionalFormatting>
  <conditionalFormatting sqref="I350:J358 I360:J363 I532:J532 I539:J539 I541:J541 I544:J544 I550:J550 I567:J567">
    <cfRule type="cellIs" dxfId="50" priority="30" operator="greaterThanOrEqual">
      <formula>"100%"</formula>
    </cfRule>
  </conditionalFormatting>
  <conditionalFormatting sqref="I141:J141 I207:J236 I238:J249 I259:J263 I282:J282 I366:J367 I378:J380 I382:J383 I400:J400 I402:J403 I423:J423 I458:J458 I486:J488 I490:J490 I516:J522 I524:J524 I560:J562 I564:J564 I602:J604 I611:J614 I618:J623 I625:J625 I629:J630 I632:J632 I637:J637 I712:J712 I744:J744">
    <cfRule type="cellIs" dxfId="49" priority="31" operator="between">
      <formula>"0%"</formula>
      <formula>"25%"</formula>
    </cfRule>
  </conditionalFormatting>
  <conditionalFormatting sqref="I141:J141 I207:J236 I238:J249 I259:J263 I282:J282 I366:J367 I378:J380 I382:J383 I400:J400 I402:J403 I423:J423 I458:J458 I486:J488 I490:J490 I516:J522 I524:J524 I560:J562 I564:J564 I602:J604 I611:J614 I618:J623 I625:J625 I629:J630 I632:J632 I637:J637 I712:J712 I744:J744">
    <cfRule type="cellIs" dxfId="48" priority="32" operator="between">
      <formula>"25.01%"</formula>
      <formula>"50%"</formula>
    </cfRule>
  </conditionalFormatting>
  <conditionalFormatting sqref="I141:J141 I207:J236 I238:J249 I259:J263 I282:J282 I366:J367 I378:J380 I382:J383 I400:J400 I402:J403 I423:J423 I458:J458 I486:J488 I490:J490 I516:J522 I524:J524 I560:J562 I564:J564 I602:J604 I611:J614 I618:J623 I625:J625 I629:J630 I632:J632 I637:J637 I712:J712 I744:J744">
    <cfRule type="cellIs" dxfId="47" priority="33" operator="between">
      <formula>"50.01%"</formula>
      <formula>"75%"</formula>
    </cfRule>
  </conditionalFormatting>
  <conditionalFormatting sqref="I141:J141 I207:J236 I238:J249 I259:J263 I282:J282 I366:J367 I378:J380 I382:J383 I400:J400 I402:J403 I423:J423 I458:J458 I486:J488 I490:J490 I516:J522 I524:J524 I560:J562 I564:J564 I602:J604 I611:J614 I618:J623 I625:J625 I629:J630 I632:J632 I637:J637 I712:J712 I744:J744">
    <cfRule type="cellIs" dxfId="46" priority="34" operator="between">
      <formula>"75.01%"</formula>
      <formula>"99.99%"</formula>
    </cfRule>
  </conditionalFormatting>
  <conditionalFormatting sqref="I141:J141 I207:J236 I238:J249 I259:J263 I282:J282 I366:J367 I378:J380 I382:J383 I400:J400 I402:J403 I423:J423 I458:J458 I486:J488 I490:J490 I516:J522 I524:J524 I560:J562 I564:J564 I602:J604 I611:J614 I618:J623 I625:J625 I629:J630 I632:J632 I637:J637 I712:J712 I744:J744">
    <cfRule type="cellIs" dxfId="45" priority="35" operator="greaterThanOrEqual">
      <formula>"100%"</formula>
    </cfRule>
  </conditionalFormatting>
  <conditionalFormatting sqref="I183:J183">
    <cfRule type="cellIs" dxfId="44" priority="36" operator="between">
      <formula>"0%"</formula>
      <formula>"25%"</formula>
    </cfRule>
  </conditionalFormatting>
  <conditionalFormatting sqref="I183:J183">
    <cfRule type="cellIs" dxfId="43" priority="37" operator="between">
      <formula>"25.01%"</formula>
      <formula>"50%"</formula>
    </cfRule>
  </conditionalFormatting>
  <conditionalFormatting sqref="I183:J183">
    <cfRule type="cellIs" dxfId="42" priority="38" operator="between">
      <formula>"50.01%"</formula>
      <formula>"75%"</formula>
    </cfRule>
  </conditionalFormatting>
  <conditionalFormatting sqref="I183:J183">
    <cfRule type="cellIs" dxfId="41" priority="39" operator="between">
      <formula>"75.01%"</formula>
      <formula>"99.99%"</formula>
    </cfRule>
  </conditionalFormatting>
  <conditionalFormatting sqref="I183:J183">
    <cfRule type="cellIs" dxfId="40" priority="40" operator="greaterThanOrEqual">
      <formula>"100%"</formula>
    </cfRule>
  </conditionalFormatting>
  <conditionalFormatting sqref="I185:J185">
    <cfRule type="cellIs" dxfId="39" priority="41" operator="between">
      <formula>"0%"</formula>
      <formula>"25%"</formula>
    </cfRule>
  </conditionalFormatting>
  <conditionalFormatting sqref="I185:J185">
    <cfRule type="cellIs" dxfId="38" priority="42" operator="between">
      <formula>"25.01%"</formula>
      <formula>"50%"</formula>
    </cfRule>
  </conditionalFormatting>
  <conditionalFormatting sqref="I185:J185">
    <cfRule type="cellIs" dxfId="37" priority="43" operator="between">
      <formula>"50.01%"</formula>
      <formula>"75%"</formula>
    </cfRule>
  </conditionalFormatting>
  <conditionalFormatting sqref="I185:J185">
    <cfRule type="cellIs" dxfId="36" priority="44" operator="between">
      <formula>"75.01%"</formula>
      <formula>"99.99%"</formula>
    </cfRule>
  </conditionalFormatting>
  <conditionalFormatting sqref="I185:J185">
    <cfRule type="cellIs" dxfId="35" priority="45" operator="greaterThanOrEqual">
      <formula>"100%"</formula>
    </cfRule>
  </conditionalFormatting>
  <conditionalFormatting sqref="X183:Z183">
    <cfRule type="cellIs" dxfId="34" priority="46" operator="between">
      <formula>"0%"</formula>
      <formula>"25%"</formula>
    </cfRule>
  </conditionalFormatting>
  <conditionalFormatting sqref="X183:Z183">
    <cfRule type="cellIs" dxfId="33" priority="47" operator="between">
      <formula>"25.01%"</formula>
      <formula>"50%"</formula>
    </cfRule>
  </conditionalFormatting>
  <conditionalFormatting sqref="X183:Z183">
    <cfRule type="cellIs" dxfId="32" priority="48" operator="between">
      <formula>"50.01%"</formula>
      <formula>"75%"</formula>
    </cfRule>
  </conditionalFormatting>
  <conditionalFormatting sqref="X183:Z183">
    <cfRule type="cellIs" dxfId="31" priority="49" operator="between">
      <formula>"75.01%"</formula>
      <formula>"99.99%"</formula>
    </cfRule>
  </conditionalFormatting>
  <conditionalFormatting sqref="X183:Z183">
    <cfRule type="cellIs" dxfId="30" priority="50" operator="greaterThanOrEqual">
      <formula>"100%"</formula>
    </cfRule>
  </conditionalFormatting>
  <conditionalFormatting sqref="X185:Z185">
    <cfRule type="cellIs" dxfId="29" priority="51" operator="between">
      <formula>"0%"</formula>
      <formula>"25%"</formula>
    </cfRule>
  </conditionalFormatting>
  <conditionalFormatting sqref="X185:Z185">
    <cfRule type="cellIs" dxfId="28" priority="52" operator="between">
      <formula>"25.01%"</formula>
      <formula>"50%"</formula>
    </cfRule>
  </conditionalFormatting>
  <conditionalFormatting sqref="X185:Z185">
    <cfRule type="cellIs" dxfId="27" priority="53" operator="between">
      <formula>"50.01%"</formula>
      <formula>"75%"</formula>
    </cfRule>
  </conditionalFormatting>
  <conditionalFormatting sqref="X185:Z185">
    <cfRule type="cellIs" dxfId="26" priority="54" operator="between">
      <formula>"75.01%"</formula>
      <formula>"99.99%"</formula>
    </cfRule>
  </conditionalFormatting>
  <conditionalFormatting sqref="X185:Z185">
    <cfRule type="cellIs" dxfId="25" priority="55" operator="greaterThanOrEqual">
      <formula>"100%"</formula>
    </cfRule>
  </conditionalFormatting>
  <conditionalFormatting sqref="X141:Z141 X186:Z186 X207:Z226 X229:Z230 X237:Z249 X259:Z263 X282:Z282 X366:Z367 X378:Z380 X400:Z400 X423:Z423 X458:Z458 X486:Z488 X490:Z490 X516:Z522 X524:Z524 X560:Z562 X564:Z564 X602:Z604 X625:Z625 X629:Z630 X632:Z632 X637:Z637 X712:Z712 X744:Z744">
    <cfRule type="cellIs" dxfId="24" priority="56" operator="between">
      <formula>"0%"</formula>
      <formula>"25%"</formula>
    </cfRule>
  </conditionalFormatting>
  <conditionalFormatting sqref="X141:Z141 X186:Z186 X207:Z226 X229:Z230 X237:Z249 X259:Z263 X282:Z282 X366:Z367 X378:Z380 X400:Z400 X423:Z423 X458:Z458 X486:Z488 X490:Z490 X516:Z522 X524:Z524 X560:Z562 X564:Z564 X602:Z604 X625:Z625 X629:Z630 X632:Z632 X637:Z637 X712:Z712 X744:Z744">
    <cfRule type="cellIs" dxfId="23" priority="57" operator="between">
      <formula>"25.01%"</formula>
      <formula>"50%"</formula>
    </cfRule>
  </conditionalFormatting>
  <conditionalFormatting sqref="X141:Z141 X186:Z186 X207:Z226 X229:Z230 X237:Z249 X259:Z263 X282:Z282 X366:Z367 X378:Z380 X400:Z400 X423:Z423 X458:Z458 X486:Z488 X490:Z490 X516:Z522 X524:Z524 X560:Z562 X564:Z564 X602:Z604 X625:Z625 X629:Z630 X632:Z632 X637:Z637 X712:Z712 X744:Z744">
    <cfRule type="cellIs" dxfId="22" priority="58" operator="between">
      <formula>"50.01%"</formula>
      <formula>"75%"</formula>
    </cfRule>
  </conditionalFormatting>
  <conditionalFormatting sqref="X141:Z141 X186:Z186 X207:Z226 X229:Z230 X237:Z249 X259:Z263 X282:Z282 X366:Z367 X378:Z380 X400:Z400 X423:Z423 X458:Z458 X486:Z488 X490:Z490 X516:Z522 X524:Z524 X560:Z562 X564:Z564 X602:Z604 X625:Z625 X629:Z630 X632:Z632 X637:Z637 X712:Z712 X744:Z744">
    <cfRule type="cellIs" dxfId="21" priority="59" operator="between">
      <formula>"75.01%"</formula>
      <formula>"99.99%"</formula>
    </cfRule>
  </conditionalFormatting>
  <conditionalFormatting sqref="X141:Z141 X186:Z186 X207:Z226 X229:Z230 X237:Z249 X259:Z263 X282:Z282 X366:Z367 X378:Z380 X400:Z400 X423:Z423 X458:Z458 X486:Z488 X490:Z490 X516:Z522 X524:Z524 X560:Z562 X564:Z564 X602:Z604 X625:Z625 X629:Z630 X632:Z632 X637:Z637 X712:Z712 X744:Z744">
    <cfRule type="cellIs" dxfId="20" priority="60" operator="greaterThanOrEqual">
      <formula>"100%"</formula>
    </cfRule>
  </conditionalFormatting>
  <conditionalFormatting sqref="I472:J474 I523:J523">
    <cfRule type="cellIs" dxfId="19" priority="61" operator="between">
      <formula>"0%"</formula>
      <formula>"25%"</formula>
    </cfRule>
  </conditionalFormatting>
  <conditionalFormatting sqref="I472:J474 I523:J523">
    <cfRule type="cellIs" dxfId="18" priority="62" operator="between">
      <formula>"25.01%"</formula>
      <formula>"50%"</formula>
    </cfRule>
  </conditionalFormatting>
  <conditionalFormatting sqref="I472:J474 I523:J523">
    <cfRule type="cellIs" dxfId="17" priority="63" operator="between">
      <formula>"50.01%"</formula>
      <formula>"75%"</formula>
    </cfRule>
  </conditionalFormatting>
  <conditionalFormatting sqref="I472:J474 I523:J523">
    <cfRule type="cellIs" dxfId="16" priority="64" operator="between">
      <formula>"75.01%"</formula>
      <formula>"99.99%"</formula>
    </cfRule>
  </conditionalFormatting>
  <conditionalFormatting sqref="I472:J474 I523:J523">
    <cfRule type="cellIs" dxfId="15" priority="65" operator="greaterThanOrEqual">
      <formula>"100%"</formula>
    </cfRule>
  </conditionalFormatting>
  <conditionalFormatting sqref="X472:Z473 X523:Z523">
    <cfRule type="cellIs" dxfId="14" priority="66" operator="between">
      <formula>"0%"</formula>
      <formula>"25%"</formula>
    </cfRule>
  </conditionalFormatting>
  <conditionalFormatting sqref="X472:Z473 X523:Z523">
    <cfRule type="cellIs" dxfId="13" priority="67" operator="between">
      <formula>"25.01%"</formula>
      <formula>"50%"</formula>
    </cfRule>
  </conditionalFormatting>
  <conditionalFormatting sqref="X472:Z473 X523:Z523">
    <cfRule type="cellIs" dxfId="12" priority="68" operator="between">
      <formula>"50.01%"</formula>
      <formula>"75%"</formula>
    </cfRule>
  </conditionalFormatting>
  <conditionalFormatting sqref="X472:Z473 X523:Z523">
    <cfRule type="cellIs" dxfId="11" priority="69" operator="between">
      <formula>"75.01%"</formula>
      <formula>"99.99%"</formula>
    </cfRule>
  </conditionalFormatting>
  <conditionalFormatting sqref="X472:Z473 X523:Z523">
    <cfRule type="cellIs" dxfId="10" priority="70" operator="greaterThanOrEqual">
      <formula>"100%"</formula>
    </cfRule>
  </conditionalFormatting>
  <conditionalFormatting sqref="X333:Z333 X340:Z348 X353:Z353">
    <cfRule type="cellIs" dxfId="9" priority="71" operator="between">
      <formula>"0%"</formula>
      <formula>"25%"</formula>
    </cfRule>
  </conditionalFormatting>
  <conditionalFormatting sqref="X333:Z333 X340:Z348 X353:Z353">
    <cfRule type="cellIs" dxfId="8" priority="72" operator="between">
      <formula>"25.01%"</formula>
      <formula>"50%"</formula>
    </cfRule>
  </conditionalFormatting>
  <conditionalFormatting sqref="X333:Z333 X340:Z348 X353:Z353">
    <cfRule type="cellIs" dxfId="7" priority="73" operator="between">
      <formula>"50.01%"</formula>
      <formula>"75%"</formula>
    </cfRule>
  </conditionalFormatting>
  <conditionalFormatting sqref="X333:Z333 X340:Z348 X353:Z353">
    <cfRule type="cellIs" dxfId="6" priority="74" operator="between">
      <formula>"75.01%"</formula>
      <formula>"99.99%"</formula>
    </cfRule>
  </conditionalFormatting>
  <conditionalFormatting sqref="X333:Z333 X340:Z348 X353:Z353">
    <cfRule type="cellIs" dxfId="5" priority="75" operator="greaterThanOrEqual">
      <formula>"100%"</formula>
    </cfRule>
  </conditionalFormatting>
  <conditionalFormatting sqref="X350:Z358 X360:Z363 X532:Z532 X539:Z539 X541:Z541 X544:Z544 X550:Z550 X567:Z567">
    <cfRule type="cellIs" dxfId="4" priority="76" operator="between">
      <formula>"0%"</formula>
      <formula>"25%"</formula>
    </cfRule>
  </conditionalFormatting>
  <conditionalFormatting sqref="X350:Z358 X360:Z363 X532:Z532 X539:Z539 X541:Z541 X544:Z544 X550:Z550 X567:Z567">
    <cfRule type="cellIs" dxfId="3" priority="77" operator="between">
      <formula>"25.01%"</formula>
      <formula>"50%"</formula>
    </cfRule>
  </conditionalFormatting>
  <conditionalFormatting sqref="X350:Z358 X360:Z363 X532:Z532 X539:Z539 X541:Z541 X544:Z544 X550:Z550 X567:Z567">
    <cfRule type="cellIs" dxfId="2" priority="78" operator="between">
      <formula>"50.01%"</formula>
      <formula>"75%"</formula>
    </cfRule>
  </conditionalFormatting>
  <conditionalFormatting sqref="X350:Z358 X360:Z363 X532:Z532 X539:Z539 X541:Z541 X544:Z544 X550:Z550 X567:Z567">
    <cfRule type="cellIs" dxfId="1" priority="79" operator="between">
      <formula>"75.01%"</formula>
      <formula>"99.99%"</formula>
    </cfRule>
  </conditionalFormatting>
  <conditionalFormatting sqref="X350:Z358 X360:Z363 X532:Z532 X539:Z539 X541:Z541 X544:Z544 X550:Z550 X567:Z567">
    <cfRule type="cellIs" dxfId="0" priority="80" operator="greaterThanOrEqual">
      <formula>"100%"</formula>
    </cfRule>
  </conditionalFormatting>
  <pageMargins left="0.78749999999999998" right="0.78749999999999998" top="0.51180555555555496" bottom="0.51180555555555496" header="0" footer="0"/>
  <pageSetup paperSize="9" orientation="landscape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3:U1004"/>
  <sheetViews>
    <sheetView showGridLines="0" tabSelected="1" workbookViewId="0">
      <selection activeCell="I118" sqref="I118"/>
    </sheetView>
  </sheetViews>
  <sheetFormatPr defaultColWidth="14.42578125" defaultRowHeight="15" customHeight="1"/>
  <cols>
    <col min="1" max="1" width="7.28515625" customWidth="1"/>
    <col min="2" max="2" width="57.28515625" customWidth="1"/>
    <col min="3" max="3" width="17.28515625" customWidth="1"/>
    <col min="4" max="4" width="5.85546875" customWidth="1"/>
    <col min="5" max="5" width="57.28515625" customWidth="1"/>
    <col min="6" max="6" width="17.28515625" customWidth="1"/>
    <col min="7" max="7" width="5.85546875" customWidth="1"/>
    <col min="8" max="8" width="57.28515625" customWidth="1"/>
    <col min="9" max="9" width="17.28515625" customWidth="1"/>
    <col min="10" max="10" width="5.85546875" customWidth="1"/>
    <col min="11" max="11" width="40.140625" customWidth="1"/>
    <col min="12" max="13" width="17.28515625" customWidth="1"/>
    <col min="14" max="14" width="16.5703125" customWidth="1"/>
    <col min="15" max="15" width="5.7109375" customWidth="1"/>
    <col min="16" max="16" width="31" customWidth="1"/>
    <col min="17" max="17" width="19.42578125" customWidth="1"/>
    <col min="18" max="20" width="17.28515625" customWidth="1"/>
    <col min="21" max="21" width="10.42578125" customWidth="1"/>
  </cols>
  <sheetData>
    <row r="3" spans="2:9">
      <c r="B3" s="557" t="s">
        <v>1040</v>
      </c>
      <c r="C3" s="558">
        <f>'2023'!$C$2</f>
        <v>2023</v>
      </c>
      <c r="E3" s="557" t="s">
        <v>1041</v>
      </c>
      <c r="F3" s="558">
        <f>'2023'!$C$2</f>
        <v>2023</v>
      </c>
      <c r="H3" s="557" t="s">
        <v>1042</v>
      </c>
      <c r="I3" s="558">
        <f>'2023'!$C$2</f>
        <v>2023</v>
      </c>
    </row>
    <row r="4" spans="2:9">
      <c r="B4" s="559"/>
      <c r="C4" s="559"/>
      <c r="E4" s="560" t="s">
        <v>1043</v>
      </c>
      <c r="F4" s="561">
        <f>'2023'!G3-(SUM(F5:F13))</f>
        <v>4384106.34</v>
      </c>
      <c r="H4" s="559"/>
      <c r="I4" s="559"/>
    </row>
    <row r="5" spans="2:9">
      <c r="B5" s="562" t="str">
        <f>'2023'!G2</f>
        <v>MATRIZ ORÇAMENTÁRIA AJUSTADA</v>
      </c>
      <c r="C5" s="561">
        <f>'2023'!G3</f>
        <v>4909157.17</v>
      </c>
      <c r="E5" s="563" t="str">
        <f>'2023'!D182</f>
        <v xml:space="preserve">PIIQP </v>
      </c>
      <c r="F5" s="561">
        <f>'2023'!G182</f>
        <v>38807.9</v>
      </c>
      <c r="H5" s="560" t="str">
        <f>'2023'!D385</f>
        <v xml:space="preserve">5% CUSTEIO DO CAMPUS </v>
      </c>
      <c r="I5" s="564">
        <f>'2023'!G385</f>
        <v>194039.47999999998</v>
      </c>
    </row>
    <row r="6" spans="2:9">
      <c r="B6" s="563" t="str">
        <f>'2023'!D489</f>
        <v>FNDE</v>
      </c>
      <c r="C6" s="561">
        <f>'2023'!H489</f>
        <v>266193.2</v>
      </c>
      <c r="E6" s="563" t="str">
        <f>'2023'!D184</f>
        <v xml:space="preserve">PIIQPPE </v>
      </c>
      <c r="F6" s="561">
        <f>'2023'!G184</f>
        <v>10846.210000000003</v>
      </c>
      <c r="H6" s="563" t="str">
        <f>'2023'!D406</f>
        <v>PNAES - PTRES 170804</v>
      </c>
      <c r="I6" s="564">
        <f>'2023'!H406</f>
        <v>658100</v>
      </c>
    </row>
    <row r="7" spans="2:9">
      <c r="B7" s="563" t="str">
        <f>'2023'!D406</f>
        <v>PNAES - PTRES 170804</v>
      </c>
      <c r="C7" s="561">
        <f>'2023'!H406</f>
        <v>658100</v>
      </c>
      <c r="E7" s="565" t="str">
        <f>'2023'!D237</f>
        <v xml:space="preserve">FUNDO DE TI </v>
      </c>
      <c r="F7" s="561">
        <f>'2023'!G237</f>
        <v>48509.869999999995</v>
      </c>
      <c r="H7" s="563" t="str">
        <f>'2023'!D420</f>
        <v>RIP - PTRES 170803</v>
      </c>
      <c r="I7" s="564">
        <f>'2023'!H420</f>
        <v>2073197.3100000003</v>
      </c>
    </row>
    <row r="8" spans="2:9">
      <c r="B8" s="562" t="str">
        <f>'2023'!D420</f>
        <v>RIP - PTRES 170803</v>
      </c>
      <c r="C8" s="561">
        <f>'2023'!H420</f>
        <v>2073197.3100000003</v>
      </c>
      <c r="E8" s="563" t="str">
        <f>'2023'!D186</f>
        <v>PIDES</v>
      </c>
      <c r="F8" s="561">
        <f>'2023'!G186</f>
        <v>19403.949999999997</v>
      </c>
      <c r="H8" s="563" t="str">
        <f>'2023'!D489</f>
        <v>FNDE</v>
      </c>
      <c r="I8" s="561">
        <f>'2023'!H489</f>
        <v>266193.2</v>
      </c>
    </row>
    <row r="9" spans="2:9">
      <c r="B9" s="562" t="str">
        <f>'2023'!H2</f>
        <v>OUTROS RECURSOS (PNAES, FNDE, Receita Própria, Extra Orçamentário)</v>
      </c>
      <c r="C9" s="561">
        <f>'2023'!H3-'2023'!H406-'2023'!H489-'2023'!H420</f>
        <v>10174670.000000002</v>
      </c>
      <c r="E9" s="560" t="str">
        <f>'2023'!D311</f>
        <v xml:space="preserve">PROJETOS DE ENSINO </v>
      </c>
      <c r="F9" s="561">
        <f>'2023'!G311</f>
        <v>38807.9</v>
      </c>
      <c r="H9" s="562" t="str">
        <f>'2023'!H2</f>
        <v>OUTROS RECURSOS (PNAES, FNDE, Receita Própria, Extra Orçamentário)</v>
      </c>
      <c r="I9" s="561">
        <f>(('2023'!H384)+('2023'!G384))-(SUM(I5:I8))</f>
        <v>1546670</v>
      </c>
    </row>
    <row r="10" spans="2:9">
      <c r="B10" s="566"/>
      <c r="C10" s="566"/>
      <c r="E10" s="560" t="str">
        <f>'2023'!D384</f>
        <v>ASSISTÊNCIA ESTUDANTIL</v>
      </c>
      <c r="F10" s="561">
        <f>'2023'!G385</f>
        <v>194039.47999999998</v>
      </c>
      <c r="H10" s="560"/>
      <c r="I10" s="567"/>
    </row>
    <row r="11" spans="2:9">
      <c r="B11" s="566"/>
      <c r="C11" s="566"/>
      <c r="E11" s="560" t="str">
        <f>'2023'!D328</f>
        <v xml:space="preserve">AÇÕES INCLUSIVAS </v>
      </c>
      <c r="F11" s="561">
        <f>'2023'!G328</f>
        <v>58211.839999999997</v>
      </c>
      <c r="H11" s="560"/>
      <c r="I11" s="567"/>
    </row>
    <row r="12" spans="2:9">
      <c r="B12" s="566"/>
      <c r="C12" s="566"/>
      <c r="E12" s="560" t="str">
        <f>'2023'!D531</f>
        <v>PROJETOS DE PESQUISA- PI - LEN09P20FAI</v>
      </c>
      <c r="F12" s="561">
        <f>'2023'!G531</f>
        <v>58211.839999999997</v>
      </c>
      <c r="H12" s="560"/>
      <c r="I12" s="567"/>
    </row>
    <row r="13" spans="2:9">
      <c r="B13" s="566"/>
      <c r="C13" s="566"/>
      <c r="E13" s="560" t="str">
        <f>'2023'!D566</f>
        <v>PROJETOS DE EXTENSÃO- PI - LEN09P21FAI</v>
      </c>
      <c r="F13" s="561">
        <f>'2023'!G566</f>
        <v>58211.839999999997</v>
      </c>
      <c r="H13" s="560"/>
      <c r="I13" s="567"/>
    </row>
    <row r="14" spans="2:9">
      <c r="B14" s="566"/>
      <c r="C14" s="566"/>
      <c r="E14" s="566"/>
      <c r="F14" s="566"/>
      <c r="H14" s="566"/>
      <c r="I14" s="566"/>
    </row>
    <row r="15" spans="2:9">
      <c r="B15" s="566"/>
      <c r="C15" s="566"/>
      <c r="E15" s="566"/>
      <c r="F15" s="566"/>
      <c r="H15" s="566"/>
      <c r="I15" s="566"/>
    </row>
    <row r="16" spans="2:9">
      <c r="B16" s="566"/>
      <c r="C16" s="566"/>
      <c r="E16" s="566"/>
      <c r="F16" s="566"/>
      <c r="H16" s="566"/>
      <c r="I16" s="566"/>
    </row>
    <row r="17" spans="2:13">
      <c r="B17" s="566"/>
      <c r="C17" s="566"/>
      <c r="E17" s="566"/>
      <c r="F17" s="566"/>
      <c r="H17" s="566"/>
      <c r="I17" s="566"/>
    </row>
    <row r="18" spans="2:13">
      <c r="B18" s="566"/>
      <c r="C18" s="566"/>
      <c r="E18" s="566"/>
      <c r="F18" s="566"/>
      <c r="H18" s="566"/>
      <c r="I18" s="566"/>
    </row>
    <row r="19" spans="2:13">
      <c r="B19" s="566"/>
      <c r="C19" s="566"/>
      <c r="E19" s="566"/>
      <c r="F19" s="566"/>
      <c r="H19" s="566"/>
      <c r="I19" s="566"/>
    </row>
    <row r="20" spans="2:13">
      <c r="B20" s="566"/>
      <c r="C20" s="566"/>
      <c r="E20" s="566"/>
      <c r="F20" s="566"/>
      <c r="H20" s="566"/>
      <c r="I20" s="566"/>
    </row>
    <row r="21" spans="2:13" ht="15.75" customHeight="1">
      <c r="B21" s="566"/>
      <c r="C21" s="566"/>
      <c r="E21" s="566"/>
      <c r="F21" s="566"/>
      <c r="H21" s="566"/>
      <c r="I21" s="566"/>
    </row>
    <row r="22" spans="2:13" ht="15.75" customHeight="1">
      <c r="B22" s="566"/>
      <c r="C22" s="566"/>
      <c r="E22" s="566"/>
      <c r="F22" s="566"/>
      <c r="H22" s="566"/>
      <c r="I22" s="566"/>
    </row>
    <row r="23" spans="2:13" ht="15.75" customHeight="1">
      <c r="B23" s="566"/>
      <c r="C23" s="566"/>
      <c r="E23" s="566"/>
      <c r="F23" s="566"/>
      <c r="H23" s="566"/>
      <c r="I23" s="566"/>
    </row>
    <row r="24" spans="2:13" ht="15.75" customHeight="1">
      <c r="B24" s="566"/>
      <c r="C24" s="566"/>
      <c r="E24" s="566"/>
      <c r="F24" s="566"/>
      <c r="H24" s="566"/>
      <c r="I24" s="566"/>
    </row>
    <row r="25" spans="2:13" ht="15.75" customHeight="1">
      <c r="B25" s="566"/>
      <c r="C25" s="566"/>
      <c r="E25" s="566"/>
      <c r="F25" s="566"/>
      <c r="H25" s="566"/>
      <c r="I25" s="566"/>
    </row>
    <row r="26" spans="2:13" ht="15.75" customHeight="1">
      <c r="B26" s="566"/>
      <c r="C26" s="566"/>
      <c r="E26" s="566"/>
      <c r="F26" s="566"/>
      <c r="H26" s="566"/>
      <c r="I26" s="566"/>
    </row>
    <row r="27" spans="2:13" ht="15.75" customHeight="1">
      <c r="B27" s="566"/>
      <c r="C27" s="566"/>
      <c r="E27" s="566"/>
      <c r="F27" s="566"/>
      <c r="H27" s="566"/>
      <c r="I27" s="566"/>
    </row>
    <row r="28" spans="2:13" ht="15.75" customHeight="1">
      <c r="B28" s="566"/>
      <c r="C28" s="566"/>
      <c r="E28" s="566"/>
      <c r="F28" s="566"/>
      <c r="H28" s="566"/>
      <c r="I28" s="566"/>
    </row>
    <row r="29" spans="2:13" ht="15.75" customHeight="1">
      <c r="B29" s="566"/>
      <c r="C29" s="566"/>
      <c r="E29" s="566"/>
      <c r="F29" s="566"/>
      <c r="H29" s="566"/>
      <c r="I29" s="566"/>
    </row>
    <row r="30" spans="2:13" ht="15.75" customHeight="1"/>
    <row r="31" spans="2:13" ht="15.75" customHeight="1"/>
    <row r="32" spans="2:13" ht="15.75" customHeight="1">
      <c r="B32" s="557" t="s">
        <v>1044</v>
      </c>
      <c r="C32" s="558">
        <f>'2023'!$C$2</f>
        <v>2023</v>
      </c>
      <c r="E32" s="557" t="s">
        <v>1045</v>
      </c>
      <c r="F32" s="558">
        <f>'2023'!$C$2</f>
        <v>2023</v>
      </c>
      <c r="H32" s="557" t="s">
        <v>1046</v>
      </c>
      <c r="I32" s="558">
        <f>'2023'!$C$2</f>
        <v>2023</v>
      </c>
      <c r="K32" s="682" t="s">
        <v>1047</v>
      </c>
      <c r="L32" s="635"/>
      <c r="M32" s="558">
        <f>'2023'!$C$2</f>
        <v>2023</v>
      </c>
    </row>
    <row r="33" spans="2:16" ht="15.75" customHeight="1">
      <c r="B33" s="566"/>
      <c r="C33" s="566"/>
      <c r="E33" s="560" t="str">
        <f>'2023'!B4</f>
        <v>DG - DIREÇÃO GERAL</v>
      </c>
      <c r="F33" s="568">
        <f>'2023'!K4</f>
        <v>7000</v>
      </c>
      <c r="H33" s="560" t="str">
        <f>'2023'!B4</f>
        <v>DG - DIREÇÃO GERAL</v>
      </c>
      <c r="I33" s="568">
        <f>'2023'!O4</f>
        <v>5532.22</v>
      </c>
      <c r="K33" s="569" t="s">
        <v>1048</v>
      </c>
      <c r="L33" s="570" t="s">
        <v>1049</v>
      </c>
      <c r="M33" s="570" t="s">
        <v>1050</v>
      </c>
    </row>
    <row r="34" spans="2:16" ht="15.75" customHeight="1">
      <c r="B34" s="560" t="str">
        <f>'2023'!B4</f>
        <v>DG - DIREÇÃO GERAL</v>
      </c>
      <c r="C34" s="568">
        <f>'2023'!G4</f>
        <v>10000</v>
      </c>
      <c r="E34" s="571" t="str">
        <f>'2023'!B16</f>
        <v>DAD - DIRETORIA DE ADMINISTRAÇÃO</v>
      </c>
      <c r="F34" s="568">
        <f>'2023'!K16</f>
        <v>2367218.85</v>
      </c>
      <c r="H34" s="571" t="str">
        <f>'2023'!B16</f>
        <v>DAD - DIRETORIA DE ADMINISTRAÇÃO</v>
      </c>
      <c r="I34" s="568">
        <f>'2023'!O16</f>
        <v>1001752.8399999999</v>
      </c>
      <c r="K34" s="569" t="s">
        <v>7</v>
      </c>
      <c r="L34" s="572">
        <f>'2023'!$G$783/12</f>
        <v>409096.43083333335</v>
      </c>
      <c r="M34" s="573">
        <f>'2023'!AA784</f>
        <v>671535</v>
      </c>
    </row>
    <row r="35" spans="2:16" ht="15.75" customHeight="1">
      <c r="B35" s="571" t="str">
        <f>'2023'!B16</f>
        <v>DAD - DIRETORIA DE ADMINISTRAÇÃO</v>
      </c>
      <c r="C35" s="568">
        <f>'2023'!G16</f>
        <v>2516834.44</v>
      </c>
      <c r="E35" s="560" t="str">
        <f>'2023'!B157</f>
        <v>DPDI - DIRETORIA DE PLANEJ E DESENV INSTITUCIONAL</v>
      </c>
      <c r="F35" s="568">
        <f>'2023'!K157</f>
        <v>120820.71</v>
      </c>
      <c r="H35" s="560" t="str">
        <f>'2023'!B157</f>
        <v>DPDI - DIRETORIA DE PLANEJ E DESENV INSTITUCIONAL</v>
      </c>
      <c r="I35" s="568">
        <f>'2023'!O157</f>
        <v>28941.96</v>
      </c>
      <c r="K35" s="569" t="s">
        <v>8</v>
      </c>
      <c r="L35" s="572">
        <f>'2023'!$G$783/12</f>
        <v>409096.43083333335</v>
      </c>
      <c r="M35" s="573">
        <f>'2023'!AB784</f>
        <v>13000</v>
      </c>
    </row>
    <row r="36" spans="2:16" ht="15.75" customHeight="1">
      <c r="B36" s="560" t="str">
        <f>'2023'!B157</f>
        <v>DPDI - DIRETORIA DE PLANEJ E DESENV INSTITUCIONAL</v>
      </c>
      <c r="C36" s="568">
        <f>'2023'!G157</f>
        <v>275926.01</v>
      </c>
      <c r="E36" s="560" t="str">
        <f>'2023'!B271</f>
        <v>DE - DIRETORIA DE ENSINO</v>
      </c>
      <c r="F36" s="568">
        <f>'2023'!K271</f>
        <v>56850.2</v>
      </c>
      <c r="H36" s="560" t="str">
        <f>'2023'!B271</f>
        <v>DE - DIRETORIA DE ENSINO</v>
      </c>
      <c r="I36" s="568">
        <f>'2023'!O271</f>
        <v>18293.38</v>
      </c>
      <c r="K36" s="569" t="s">
        <v>9</v>
      </c>
      <c r="L36" s="572">
        <f>'2023'!$G$783/12</f>
        <v>409096.43083333335</v>
      </c>
      <c r="M36" s="573">
        <f>'2023'!AC784</f>
        <v>315199</v>
      </c>
    </row>
    <row r="37" spans="2:16" ht="15.75" customHeight="1">
      <c r="B37" s="560" t="str">
        <f>'2023'!B271</f>
        <v>DE - DIRETORIA DE ENSINO</v>
      </c>
      <c r="C37" s="568">
        <f>'2023'!G271</f>
        <v>503059.22</v>
      </c>
      <c r="E37" s="560" t="str">
        <f>'2023'!B529</f>
        <v>DPEP - DIRETORIA DE PESQUISA, EXTENSÃO E PRODUÇÃO</v>
      </c>
      <c r="F37" s="568">
        <f>'2023'!K529</f>
        <v>1104668.6900000004</v>
      </c>
      <c r="H37" s="560" t="str">
        <f>'2023'!B529</f>
        <v>DPEP - DIRETORIA DE PESQUISA, EXTENSÃO E PRODUÇÃO</v>
      </c>
      <c r="I37" s="568">
        <f>'2023'!O529</f>
        <v>601017.89000000025</v>
      </c>
      <c r="K37" s="569" t="s">
        <v>10</v>
      </c>
      <c r="L37" s="572">
        <f>'2023'!$G$783/12</f>
        <v>409096.43083333335</v>
      </c>
      <c r="M37" s="574">
        <f>'2023'!AD784</f>
        <v>353399</v>
      </c>
    </row>
    <row r="38" spans="2:16" ht="15.75" customHeight="1">
      <c r="B38" s="560" t="str">
        <f>'2023'!B529</f>
        <v>DPEP - DIRETORIA DE PESQUISA, EXTENSÃO E PRODUÇÃO</v>
      </c>
      <c r="C38" s="568">
        <f>'2023'!G529</f>
        <v>1603337.5</v>
      </c>
      <c r="E38" s="565" t="str">
        <f>'2023'!B762</f>
        <v>DESPESAS REALIZADAS PELA REITORIA</v>
      </c>
      <c r="F38" s="575">
        <f>'2023'!K762</f>
        <v>747067.58000000007</v>
      </c>
      <c r="H38" s="565" t="str">
        <f>'2023'!B762</f>
        <v>DESPESAS REALIZADAS PELA REITORIA</v>
      </c>
      <c r="I38" s="575">
        <f>'2023'!O762</f>
        <v>0</v>
      </c>
      <c r="K38" s="569" t="s">
        <v>11</v>
      </c>
      <c r="L38" s="572">
        <f>'2023'!$G$783/12</f>
        <v>409096.43083333335</v>
      </c>
      <c r="M38" s="574">
        <f>'2023'!AE784</f>
        <v>1234212.2</v>
      </c>
    </row>
    <row r="39" spans="2:16" ht="15.75" customHeight="1">
      <c r="B39" s="566"/>
      <c r="C39" s="566"/>
      <c r="E39" s="566"/>
      <c r="F39" s="566"/>
      <c r="H39" s="566"/>
      <c r="I39" s="566"/>
      <c r="K39" s="569" t="s">
        <v>12</v>
      </c>
      <c r="L39" s="572">
        <f>'2023'!$G$783/12</f>
        <v>409096.43083333335</v>
      </c>
      <c r="M39" s="574">
        <f>'2023'!AF784</f>
        <v>1414075.2</v>
      </c>
    </row>
    <row r="40" spans="2:16" ht="15.75" customHeight="1">
      <c r="B40" s="566"/>
      <c r="C40" s="566"/>
      <c r="E40" s="566"/>
      <c r="F40" s="566"/>
      <c r="H40" s="566"/>
      <c r="I40" s="566"/>
      <c r="K40" s="569" t="s">
        <v>13</v>
      </c>
      <c r="L40" s="572">
        <f>'2023'!$G$783/12</f>
        <v>409096.43083333335</v>
      </c>
      <c r="M40" s="573">
        <f>'2023'!AA786</f>
        <v>0</v>
      </c>
    </row>
    <row r="41" spans="2:16" ht="15.75" customHeight="1">
      <c r="B41" s="566"/>
      <c r="C41" s="566"/>
      <c r="E41" s="566"/>
      <c r="F41" s="566"/>
      <c r="H41" s="566"/>
      <c r="I41" s="566"/>
      <c r="K41" s="569" t="s">
        <v>14</v>
      </c>
      <c r="L41" s="572">
        <f>'2023'!$G$783/12</f>
        <v>409096.43083333335</v>
      </c>
      <c r="M41" s="573">
        <f>'2023'!AB786</f>
        <v>0</v>
      </c>
    </row>
    <row r="42" spans="2:16" ht="15.75" customHeight="1">
      <c r="B42" s="566"/>
      <c r="C42" s="566"/>
      <c r="E42" s="566"/>
      <c r="F42" s="566"/>
      <c r="H42" s="566"/>
      <c r="I42" s="566"/>
      <c r="K42" s="569" t="s">
        <v>15</v>
      </c>
      <c r="L42" s="572">
        <f>'2023'!$G$783/12</f>
        <v>409096.43083333335</v>
      </c>
      <c r="M42" s="573">
        <f>'2023'!AC786</f>
        <v>0</v>
      </c>
    </row>
    <row r="43" spans="2:16" ht="15.75" customHeight="1">
      <c r="B43" s="566"/>
      <c r="C43" s="566"/>
      <c r="E43" s="566"/>
      <c r="F43" s="566"/>
      <c r="H43" s="566"/>
      <c r="I43" s="566"/>
      <c r="K43" s="569" t="s">
        <v>16</v>
      </c>
      <c r="L43" s="572">
        <f>'2023'!$G$783/12</f>
        <v>409096.43083333335</v>
      </c>
      <c r="M43" s="574">
        <f>'2023'!AD786</f>
        <v>0</v>
      </c>
    </row>
    <row r="44" spans="2:16" ht="15.75" customHeight="1">
      <c r="B44" s="566"/>
      <c r="C44" s="566"/>
      <c r="E44" s="566"/>
      <c r="F44" s="566"/>
      <c r="H44" s="566"/>
      <c r="I44" s="566"/>
      <c r="K44" s="569" t="s">
        <v>17</v>
      </c>
      <c r="L44" s="572">
        <f>'2023'!$G$783/12</f>
        <v>409096.43083333335</v>
      </c>
      <c r="M44" s="574">
        <f>'2023'!AE786</f>
        <v>0</v>
      </c>
    </row>
    <row r="45" spans="2:16" ht="15.75" customHeight="1">
      <c r="B45" s="566"/>
      <c r="C45" s="566"/>
      <c r="E45" s="566"/>
      <c r="F45" s="566"/>
      <c r="H45" s="566"/>
      <c r="I45" s="566"/>
      <c r="K45" s="569" t="s">
        <v>18</v>
      </c>
      <c r="L45" s="572">
        <f>'2023'!$G$783/12</f>
        <v>409096.43083333335</v>
      </c>
      <c r="M45" s="574">
        <f>'2023'!AF786</f>
        <v>0</v>
      </c>
    </row>
    <row r="46" spans="2:16" ht="15.75" customHeight="1">
      <c r="B46" s="566"/>
      <c r="C46" s="566"/>
      <c r="E46" s="566"/>
      <c r="F46" s="566"/>
      <c r="H46" s="566"/>
      <c r="I46" s="566"/>
      <c r="K46" s="569"/>
      <c r="L46" s="569"/>
      <c r="M46" s="569"/>
      <c r="N46" s="576"/>
      <c r="P46" s="577"/>
    </row>
    <row r="47" spans="2:16" ht="15.75" customHeight="1">
      <c r="B47" s="566"/>
      <c r="C47" s="566"/>
      <c r="E47" s="566"/>
      <c r="F47" s="566"/>
      <c r="H47" s="566"/>
      <c r="I47" s="566"/>
      <c r="K47" s="569"/>
      <c r="L47" s="569"/>
      <c r="M47" s="569"/>
    </row>
    <row r="48" spans="2:16" ht="15.75" customHeight="1">
      <c r="B48" s="566"/>
      <c r="C48" s="566"/>
      <c r="E48" s="566"/>
      <c r="F48" s="566"/>
      <c r="H48" s="566"/>
      <c r="I48" s="566"/>
      <c r="K48" s="569"/>
      <c r="L48" s="569"/>
      <c r="M48" s="569"/>
    </row>
    <row r="49" spans="2:13" ht="15.75" customHeight="1">
      <c r="B49" s="566"/>
      <c r="C49" s="566"/>
      <c r="E49" s="566"/>
      <c r="F49" s="566"/>
      <c r="H49" s="566"/>
      <c r="I49" s="566"/>
      <c r="K49" s="569"/>
      <c r="L49" s="569"/>
      <c r="M49" s="569"/>
    </row>
    <row r="50" spans="2:13" ht="15.75" customHeight="1">
      <c r="B50" s="566"/>
      <c r="C50" s="566"/>
      <c r="E50" s="566"/>
      <c r="F50" s="566"/>
      <c r="H50" s="566"/>
      <c r="I50" s="566"/>
      <c r="K50" s="569"/>
      <c r="L50" s="569"/>
      <c r="M50" s="569"/>
    </row>
    <row r="51" spans="2:13" ht="15.75" customHeight="1">
      <c r="B51" s="566"/>
      <c r="C51" s="566"/>
      <c r="E51" s="566"/>
      <c r="F51" s="566"/>
      <c r="H51" s="566"/>
      <c r="I51" s="566"/>
      <c r="K51" s="569"/>
      <c r="L51" s="569"/>
      <c r="M51" s="569"/>
    </row>
    <row r="52" spans="2:13" ht="15.75" customHeight="1">
      <c r="B52" s="566"/>
      <c r="C52" s="566"/>
      <c r="E52" s="566"/>
      <c r="F52" s="566"/>
      <c r="H52" s="566"/>
      <c r="I52" s="566"/>
      <c r="K52" s="569"/>
      <c r="L52" s="569"/>
      <c r="M52" s="569"/>
    </row>
    <row r="53" spans="2:13" ht="15.75" customHeight="1">
      <c r="B53" s="566"/>
      <c r="C53" s="566"/>
      <c r="E53" s="566"/>
      <c r="F53" s="566"/>
      <c r="H53" s="566"/>
      <c r="I53" s="566"/>
      <c r="K53" s="569"/>
      <c r="L53" s="569"/>
      <c r="M53" s="569"/>
    </row>
    <row r="54" spans="2:13" ht="15.75" customHeight="1">
      <c r="B54" s="566"/>
      <c r="C54" s="566"/>
      <c r="E54" s="566"/>
      <c r="F54" s="566"/>
      <c r="H54" s="566"/>
      <c r="I54" s="566"/>
      <c r="K54" s="569"/>
      <c r="L54" s="569"/>
      <c r="M54" s="569"/>
    </row>
    <row r="55" spans="2:13" ht="15.75" customHeight="1">
      <c r="B55" s="566"/>
      <c r="C55" s="566"/>
      <c r="E55" s="566"/>
      <c r="F55" s="566"/>
      <c r="H55" s="566"/>
      <c r="I55" s="566"/>
      <c r="K55" s="569"/>
      <c r="L55" s="569"/>
      <c r="M55" s="569"/>
    </row>
    <row r="56" spans="2:13" ht="15.75" customHeight="1">
      <c r="B56" s="566"/>
      <c r="C56" s="566"/>
      <c r="E56" s="566"/>
      <c r="F56" s="566"/>
      <c r="H56" s="566"/>
      <c r="I56" s="566"/>
      <c r="K56" s="569"/>
      <c r="L56" s="569"/>
      <c r="M56" s="569"/>
    </row>
    <row r="57" spans="2:13" ht="15.75" customHeight="1">
      <c r="B57" s="566"/>
      <c r="C57" s="566"/>
      <c r="E57" s="566"/>
      <c r="F57" s="566"/>
      <c r="H57" s="566"/>
      <c r="I57" s="566"/>
      <c r="K57" s="569"/>
      <c r="L57" s="569"/>
      <c r="M57" s="569"/>
    </row>
    <row r="58" spans="2:13" ht="15.75" customHeight="1">
      <c r="B58" s="566"/>
      <c r="C58" s="566"/>
      <c r="E58" s="566"/>
      <c r="F58" s="566"/>
      <c r="H58" s="566"/>
      <c r="I58" s="566"/>
      <c r="K58" s="578"/>
      <c r="L58" s="578"/>
      <c r="M58" s="578"/>
    </row>
    <row r="59" spans="2:13" ht="15.75" customHeight="1"/>
    <row r="60" spans="2:13" ht="15.75" customHeight="1"/>
    <row r="61" spans="2:13" ht="15.75" customHeight="1">
      <c r="B61" s="557" t="s">
        <v>1051</v>
      </c>
      <c r="C61" s="558">
        <f>'2023'!$C$2</f>
        <v>2023</v>
      </c>
      <c r="E61" s="557" t="s">
        <v>1052</v>
      </c>
      <c r="F61" s="558">
        <f>'2023'!$C$2</f>
        <v>2023</v>
      </c>
      <c r="H61" s="557" t="s">
        <v>1053</v>
      </c>
      <c r="I61" s="558">
        <f>'2023'!$C$2</f>
        <v>2023</v>
      </c>
      <c r="K61" s="682" t="s">
        <v>1054</v>
      </c>
      <c r="L61" s="635"/>
      <c r="M61" s="558">
        <f>'2023'!$C$2</f>
        <v>2023</v>
      </c>
    </row>
    <row r="62" spans="2:13" ht="15.75" customHeight="1">
      <c r="B62" s="579" t="s">
        <v>1055</v>
      </c>
      <c r="C62" s="580"/>
      <c r="E62" s="579" t="s">
        <v>1056</v>
      </c>
      <c r="F62" s="580"/>
      <c r="H62" s="683"/>
      <c r="I62" s="635"/>
      <c r="K62" s="581" t="str">
        <f>'2023'!K789</f>
        <v>FUNCIONAMENTO</v>
      </c>
      <c r="L62" s="581">
        <f>'2023'!M789</f>
        <v>4748487.9800000004</v>
      </c>
      <c r="M62" s="582">
        <f>'2023'!N789</f>
        <v>0.59296086699492212</v>
      </c>
    </row>
    <row r="63" spans="2:13" ht="15.75" customHeight="1">
      <c r="B63" s="583"/>
      <c r="C63" s="583"/>
      <c r="E63" s="583" t="str">
        <f>'2023'!D784</f>
        <v>ORÇAMENTO LIBERADO</v>
      </c>
      <c r="F63" s="581">
        <f>'2023'!G784</f>
        <v>4748487.9800000004</v>
      </c>
      <c r="H63" s="583" t="s">
        <v>1057</v>
      </c>
      <c r="I63" s="581">
        <f>'2023'!L785</f>
        <v>1710512.2999999998</v>
      </c>
      <c r="K63" s="581" t="str">
        <f>'2023'!K790</f>
        <v>AE - RIP</v>
      </c>
      <c r="L63" s="581">
        <f>'2023'!M790</f>
        <v>1883092.55</v>
      </c>
      <c r="M63" s="582">
        <f>'2023'!N790</f>
        <v>0.23514857693283631</v>
      </c>
    </row>
    <row r="64" spans="2:13" ht="15.75" customHeight="1">
      <c r="B64" s="583" t="str">
        <f>'2023'!D783</f>
        <v>ORÇAMENTO PLANEJADO</v>
      </c>
      <c r="C64" s="581">
        <f>'2023'!G783</f>
        <v>4909157.17</v>
      </c>
      <c r="E64" s="583" t="str">
        <f>'2023'!D785</f>
        <v>ORÇAMENTO EMPENHADO</v>
      </c>
      <c r="F64" s="581">
        <f>'2023'!G785</f>
        <v>4433298.0300000012</v>
      </c>
      <c r="H64" s="583" t="s">
        <v>1058</v>
      </c>
      <c r="I64" s="581">
        <f>'2023'!P786</f>
        <v>1382597.13</v>
      </c>
      <c r="K64" s="581" t="str">
        <f>'2023'!K791</f>
        <v>AE - AUXÍLIOS</v>
      </c>
      <c r="L64" s="581">
        <f>'2023'!M791</f>
        <v>725293</v>
      </c>
      <c r="M64" s="582">
        <f>'2023'!N791</f>
        <v>9.0569959936035879E-2</v>
      </c>
    </row>
    <row r="65" spans="2:13" ht="15.75" customHeight="1">
      <c r="B65" s="583" t="str">
        <f>'2023'!D784</f>
        <v>ORÇAMENTO LIBERADO</v>
      </c>
      <c r="C65" s="581">
        <f>'2023'!G784</f>
        <v>4748487.9800000004</v>
      </c>
      <c r="E65" s="583" t="str">
        <f>'2023'!D786</f>
        <v>ORÇAMENTO EXECUTADO</v>
      </c>
      <c r="F65" s="581">
        <f>'2023'!G786</f>
        <v>1655538.29</v>
      </c>
      <c r="H65" s="583" t="s">
        <v>1059</v>
      </c>
      <c r="I65" s="581">
        <f>'2023'!G792</f>
        <v>327915.16999999993</v>
      </c>
      <c r="K65" s="581" t="str">
        <f>'2023'!K792</f>
        <v>FNDE</v>
      </c>
      <c r="L65" s="581">
        <f>'2023'!M792</f>
        <v>266193.2</v>
      </c>
      <c r="M65" s="582">
        <f>'2023'!N792</f>
        <v>3.3240507573139663E-2</v>
      </c>
    </row>
    <row r="66" spans="2:13" ht="15.75" customHeight="1">
      <c r="B66" s="1"/>
      <c r="C66" s="1"/>
      <c r="E66" s="583" t="str">
        <f>'2023'!D787</f>
        <v>ORÇAMENTO PAGO</v>
      </c>
      <c r="F66" s="581">
        <f>'2023'!G787</f>
        <v>1655538.29</v>
      </c>
      <c r="H66" s="583" t="s">
        <v>1060</v>
      </c>
      <c r="I66" s="581">
        <f>'2023'!G794</f>
        <v>0</v>
      </c>
      <c r="K66" s="581" t="str">
        <f>'2023'!K793</f>
        <v>RECEITA PRÓPRIA</v>
      </c>
      <c r="L66" s="581">
        <f>'2023'!M793</f>
        <v>105626</v>
      </c>
      <c r="M66" s="582">
        <f>'2023'!N793</f>
        <v>1.3189900616997168E-2</v>
      </c>
    </row>
    <row r="67" spans="2:13" ht="15.75" customHeight="1">
      <c r="B67" s="1"/>
      <c r="C67" s="1"/>
      <c r="E67" s="1"/>
      <c r="F67" s="1"/>
      <c r="H67" s="1"/>
      <c r="I67" s="1"/>
      <c r="K67" s="581" t="str">
        <f>'2023'!K796</f>
        <v>PNE</v>
      </c>
      <c r="L67" s="581">
        <f>'2023'!M796</f>
        <v>92404</v>
      </c>
      <c r="M67" s="582">
        <f>'2023'!N796</f>
        <v>1.1538821659563046E-2</v>
      </c>
    </row>
    <row r="68" spans="2:13" ht="15.75" customHeight="1">
      <c r="B68" s="1"/>
      <c r="C68" s="1"/>
      <c r="E68" s="1"/>
      <c r="F68" s="1"/>
      <c r="H68" s="1"/>
      <c r="I68" s="1"/>
      <c r="K68" s="1"/>
      <c r="L68" s="1"/>
      <c r="M68" s="1"/>
    </row>
    <row r="69" spans="2:13" ht="15.75" customHeight="1">
      <c r="B69" s="1"/>
      <c r="C69" s="1"/>
      <c r="E69" s="1"/>
      <c r="F69" s="1"/>
      <c r="H69" s="1"/>
      <c r="I69" s="1"/>
      <c r="K69" s="1"/>
      <c r="L69" s="1"/>
      <c r="M69" s="1"/>
    </row>
    <row r="70" spans="2:13" ht="15.75" customHeight="1">
      <c r="B70" s="1"/>
      <c r="C70" s="1"/>
      <c r="E70" s="1"/>
      <c r="F70" s="1"/>
      <c r="H70" s="1"/>
      <c r="I70" s="1"/>
      <c r="K70" s="1"/>
      <c r="L70" s="1"/>
      <c r="M70" s="1"/>
    </row>
    <row r="71" spans="2:13" ht="15.75" customHeight="1">
      <c r="B71" s="1"/>
      <c r="C71" s="1"/>
      <c r="E71" s="1"/>
      <c r="F71" s="1"/>
      <c r="H71" s="1"/>
      <c r="I71" s="1"/>
      <c r="K71" s="1"/>
      <c r="L71" s="1"/>
      <c r="M71" s="1"/>
    </row>
    <row r="72" spans="2:13" ht="15.75" customHeight="1">
      <c r="B72" s="1"/>
      <c r="C72" s="1"/>
      <c r="E72" s="1"/>
      <c r="F72" s="1"/>
      <c r="H72" s="1"/>
      <c r="I72" s="1"/>
      <c r="K72" s="1"/>
      <c r="L72" s="1"/>
      <c r="M72" s="1"/>
    </row>
    <row r="73" spans="2:13" ht="15.75" customHeight="1">
      <c r="B73" s="1"/>
      <c r="C73" s="1"/>
      <c r="E73" s="1"/>
      <c r="F73" s="1"/>
      <c r="H73" s="1"/>
      <c r="I73" s="1"/>
      <c r="K73" s="1"/>
      <c r="L73" s="1"/>
      <c r="M73" s="1"/>
    </row>
    <row r="74" spans="2:13" ht="15.75" customHeight="1">
      <c r="B74" s="1"/>
      <c r="C74" s="1"/>
      <c r="E74" s="1"/>
      <c r="F74" s="1"/>
      <c r="H74" s="1"/>
      <c r="I74" s="1"/>
      <c r="K74" s="1"/>
      <c r="L74" s="1"/>
      <c r="M74" s="1"/>
    </row>
    <row r="75" spans="2:13" ht="15.75" customHeight="1">
      <c r="B75" s="1"/>
      <c r="C75" s="1"/>
      <c r="E75" s="1"/>
      <c r="F75" s="1"/>
      <c r="H75" s="1"/>
      <c r="I75" s="1"/>
      <c r="K75" s="1"/>
      <c r="L75" s="1"/>
      <c r="M75" s="1"/>
    </row>
    <row r="76" spans="2:13" ht="15.75" customHeight="1">
      <c r="B76" s="1"/>
      <c r="C76" s="1"/>
      <c r="E76" s="1"/>
      <c r="F76" s="1"/>
      <c r="H76" s="1"/>
      <c r="I76" s="1"/>
      <c r="K76" s="1"/>
      <c r="L76" s="1"/>
      <c r="M76" s="1"/>
    </row>
    <row r="77" spans="2:13" ht="15.75" customHeight="1">
      <c r="B77" s="1"/>
      <c r="C77" s="1"/>
      <c r="E77" s="1"/>
      <c r="F77" s="1"/>
      <c r="H77" s="1"/>
      <c r="I77" s="1"/>
      <c r="K77" s="1"/>
      <c r="L77" s="1"/>
      <c r="M77" s="1"/>
    </row>
    <row r="78" spans="2:13" ht="15.75" customHeight="1">
      <c r="B78" s="1"/>
      <c r="C78" s="1"/>
      <c r="E78" s="1"/>
      <c r="F78" s="1"/>
      <c r="H78" s="1"/>
      <c r="I78" s="1"/>
      <c r="K78" s="1"/>
      <c r="L78" s="1"/>
      <c r="M78" s="1"/>
    </row>
    <row r="79" spans="2:13" ht="15.75" customHeight="1">
      <c r="B79" s="1"/>
      <c r="C79" s="1"/>
      <c r="E79" s="1"/>
      <c r="F79" s="1"/>
      <c r="H79" s="1"/>
      <c r="I79" s="1"/>
      <c r="K79" s="1"/>
      <c r="L79" s="1"/>
      <c r="M79" s="1"/>
    </row>
    <row r="80" spans="2:13" ht="15.75" customHeight="1">
      <c r="B80" s="1"/>
      <c r="C80" s="1"/>
      <c r="E80" s="1"/>
      <c r="F80" s="1"/>
      <c r="H80" s="1"/>
      <c r="I80" s="1"/>
      <c r="K80" s="1"/>
      <c r="L80" s="1"/>
      <c r="M80" s="1"/>
    </row>
    <row r="81" spans="2:15" ht="15.75" customHeight="1">
      <c r="B81" s="1"/>
      <c r="C81" s="1"/>
      <c r="E81" s="1"/>
      <c r="F81" s="1"/>
      <c r="H81" s="1"/>
      <c r="I81" s="1"/>
      <c r="K81" s="1"/>
      <c r="L81" s="1"/>
      <c r="M81" s="1"/>
    </row>
    <row r="82" spans="2:15" ht="15.75" customHeight="1">
      <c r="B82" s="1"/>
      <c r="C82" s="1"/>
      <c r="E82" s="1"/>
      <c r="F82" s="1"/>
      <c r="H82" s="1"/>
      <c r="I82" s="1"/>
      <c r="K82" s="1"/>
      <c r="L82" s="1"/>
      <c r="M82" s="1"/>
    </row>
    <row r="83" spans="2:15" ht="15.75" customHeight="1">
      <c r="B83" s="1"/>
      <c r="C83" s="1"/>
      <c r="E83" s="1"/>
      <c r="F83" s="1"/>
      <c r="H83" s="1"/>
      <c r="I83" s="1"/>
      <c r="K83" s="1"/>
      <c r="L83" s="1"/>
      <c r="M83" s="1"/>
    </row>
    <row r="84" spans="2:15" ht="15.75" customHeight="1">
      <c r="B84" s="1"/>
      <c r="C84" s="1"/>
      <c r="E84" s="1"/>
      <c r="F84" s="1"/>
      <c r="H84" s="1"/>
      <c r="I84" s="1"/>
      <c r="K84" s="1"/>
      <c r="L84" s="1"/>
      <c r="M84" s="1"/>
    </row>
    <row r="85" spans="2:15" ht="15.75" customHeight="1">
      <c r="B85" s="1"/>
      <c r="C85" s="1"/>
      <c r="E85" s="1"/>
      <c r="F85" s="1"/>
      <c r="H85" s="1"/>
      <c r="I85" s="1"/>
      <c r="K85" s="1"/>
      <c r="L85" s="1"/>
      <c r="M85" s="1"/>
    </row>
    <row r="86" spans="2:15" ht="15.75" customHeight="1"/>
    <row r="87" spans="2:15" ht="15.75" customHeight="1"/>
    <row r="88" spans="2:15" ht="15.75" customHeight="1">
      <c r="K88" s="678" t="s">
        <v>1061</v>
      </c>
      <c r="L88" s="645"/>
      <c r="M88" s="558">
        <f>'2023'!$C$2</f>
        <v>2023</v>
      </c>
      <c r="N88" s="584"/>
      <c r="O88" s="584"/>
    </row>
    <row r="89" spans="2:15" ht="15.75" customHeight="1">
      <c r="K89" s="585"/>
      <c r="L89" s="586" t="s">
        <v>1062</v>
      </c>
      <c r="M89" s="586" t="s">
        <v>1063</v>
      </c>
      <c r="N89" s="584"/>
      <c r="O89" s="584"/>
    </row>
    <row r="90" spans="2:15" ht="15.75" customHeight="1">
      <c r="K90" s="587" t="str">
        <f>'2023'!K789</f>
        <v>FUNCIONAMENTO</v>
      </c>
      <c r="L90" s="587">
        <f>'2023'!M789</f>
        <v>4748487.9800000004</v>
      </c>
      <c r="M90" s="587">
        <f>'2023'!O789</f>
        <v>4433298.0300000012</v>
      </c>
      <c r="N90" s="584"/>
      <c r="O90" s="584"/>
    </row>
    <row r="91" spans="2:15" ht="15.75" customHeight="1">
      <c r="K91" s="587" t="str">
        <f>'2023'!K790</f>
        <v>AE - RIP</v>
      </c>
      <c r="L91" s="587">
        <f>'2023'!M790</f>
        <v>1883092.55</v>
      </c>
      <c r="M91" s="587">
        <f>'2023'!O790</f>
        <v>1722069.55</v>
      </c>
      <c r="N91" s="584"/>
      <c r="O91" s="584"/>
    </row>
    <row r="92" spans="2:15" ht="15.75" customHeight="1">
      <c r="K92" s="587" t="str">
        <f>'2023'!K791</f>
        <v>AE - AUXÍLIOS</v>
      </c>
      <c r="L92" s="587">
        <f>'2023'!M791</f>
        <v>725293</v>
      </c>
      <c r="M92" s="587">
        <f>'2023'!O791</f>
        <v>725293</v>
      </c>
      <c r="N92" s="584"/>
      <c r="O92" s="584"/>
    </row>
    <row r="93" spans="2:15" ht="15.75" customHeight="1">
      <c r="K93" s="587" t="str">
        <f>'2023'!K792</f>
        <v>FNDE</v>
      </c>
      <c r="L93" s="587">
        <f>'2023'!M792</f>
        <v>266193.2</v>
      </c>
      <c r="M93" s="587">
        <f>'2023'!O792</f>
        <v>0</v>
      </c>
      <c r="N93" s="584"/>
      <c r="O93" s="584"/>
    </row>
    <row r="94" spans="2:15" ht="15.75" customHeight="1">
      <c r="K94" s="587" t="str">
        <f>'2023'!K793</f>
        <v>RECEITA PRÓPRIA</v>
      </c>
      <c r="L94" s="587">
        <f>'2023'!M793</f>
        <v>105626</v>
      </c>
      <c r="M94" s="587">
        <f>'2023'!O793</f>
        <v>101292.6</v>
      </c>
      <c r="N94" s="584"/>
      <c r="O94" s="584"/>
    </row>
    <row r="95" spans="2:15" ht="15.75" customHeight="1">
      <c r="K95" s="587" t="str">
        <f>'2023'!K796</f>
        <v>PNE</v>
      </c>
      <c r="L95" s="587">
        <f>'2023'!M796</f>
        <v>92404</v>
      </c>
      <c r="M95" s="587">
        <f>'2023'!O796</f>
        <v>92404</v>
      </c>
      <c r="N95" s="584"/>
      <c r="O95" s="584"/>
    </row>
    <row r="96" spans="2:15" ht="15.75" customHeight="1">
      <c r="K96" s="588" t="s">
        <v>63</v>
      </c>
      <c r="L96" s="589">
        <f t="shared" ref="L96:M96" si="0">SUM(L90:L95)</f>
        <v>7821096.7300000004</v>
      </c>
      <c r="M96" s="589">
        <f t="shared" si="0"/>
        <v>7074357.1800000006</v>
      </c>
      <c r="N96" s="584"/>
      <c r="O96" s="584"/>
    </row>
    <row r="97" spans="9:15" ht="15.75" customHeight="1">
      <c r="K97" s="590"/>
      <c r="L97" s="590"/>
      <c r="M97" s="590"/>
      <c r="N97" s="584"/>
      <c r="O97" s="584"/>
    </row>
    <row r="98" spans="9:15" ht="15.75" customHeight="1">
      <c r="K98" s="590"/>
      <c r="L98" s="590"/>
      <c r="M98" s="590"/>
      <c r="N98" s="584"/>
      <c r="O98" s="584"/>
    </row>
    <row r="99" spans="9:15" ht="15.75" customHeight="1">
      <c r="K99" s="590"/>
      <c r="L99" s="590"/>
      <c r="M99" s="590"/>
      <c r="N99" s="584"/>
      <c r="O99" s="584"/>
    </row>
    <row r="100" spans="9:15" ht="15.75" customHeight="1">
      <c r="K100" s="590"/>
      <c r="L100" s="590"/>
      <c r="M100" s="590"/>
      <c r="N100" s="584"/>
      <c r="O100" s="584"/>
    </row>
    <row r="101" spans="9:15" ht="15.75" customHeight="1">
      <c r="K101" s="590"/>
      <c r="L101" s="590"/>
      <c r="M101" s="590"/>
      <c r="N101" s="584"/>
      <c r="O101" s="584"/>
    </row>
    <row r="102" spans="9:15" ht="15.75" customHeight="1">
      <c r="K102" s="590"/>
      <c r="L102" s="590"/>
      <c r="M102" s="590"/>
      <c r="N102" s="584"/>
      <c r="O102" s="584"/>
    </row>
    <row r="103" spans="9:15" ht="15.75" customHeight="1">
      <c r="K103" s="590"/>
      <c r="L103" s="590"/>
      <c r="M103" s="590"/>
      <c r="N103" s="584"/>
      <c r="O103" s="584"/>
    </row>
    <row r="104" spans="9:15" ht="15.75" customHeight="1">
      <c r="K104" s="590"/>
      <c r="L104" s="590"/>
      <c r="M104" s="590"/>
      <c r="N104" s="584"/>
      <c r="O104" s="584"/>
    </row>
    <row r="105" spans="9:15" ht="15.75" customHeight="1">
      <c r="K105" s="590"/>
      <c r="L105" s="590"/>
      <c r="M105" s="590"/>
      <c r="N105" s="584"/>
      <c r="O105" s="584"/>
    </row>
    <row r="106" spans="9:15" ht="15.75" customHeight="1">
      <c r="K106" s="590"/>
      <c r="L106" s="590"/>
      <c r="M106" s="590"/>
      <c r="N106" s="584"/>
      <c r="O106" s="584"/>
    </row>
    <row r="107" spans="9:15" ht="15.75" customHeight="1">
      <c r="K107" s="590"/>
      <c r="L107" s="590"/>
      <c r="M107" s="590"/>
      <c r="N107" s="584"/>
      <c r="O107" s="584"/>
    </row>
    <row r="108" spans="9:15" ht="15.75" customHeight="1">
      <c r="K108" s="590"/>
      <c r="L108" s="590"/>
      <c r="M108" s="590"/>
      <c r="N108" s="584"/>
      <c r="O108" s="584"/>
    </row>
    <row r="109" spans="9:15" ht="15.75" customHeight="1">
      <c r="K109" s="590"/>
      <c r="L109" s="590"/>
      <c r="M109" s="590"/>
      <c r="N109" s="584"/>
      <c r="O109" s="584"/>
    </row>
    <row r="110" spans="9:15" ht="15.75" customHeight="1">
      <c r="I110" s="591"/>
      <c r="K110" s="590"/>
      <c r="L110" s="590"/>
      <c r="M110" s="590"/>
      <c r="N110" s="584"/>
      <c r="O110" s="584"/>
    </row>
    <row r="111" spans="9:15" ht="15.75" customHeight="1">
      <c r="K111" s="590"/>
      <c r="L111" s="590"/>
      <c r="M111" s="590"/>
      <c r="N111" s="584"/>
      <c r="O111" s="584"/>
    </row>
    <row r="112" spans="9:15" ht="15.75" customHeight="1">
      <c r="K112" s="590"/>
      <c r="L112" s="590"/>
      <c r="M112" s="590"/>
      <c r="N112" s="584"/>
      <c r="O112" s="584"/>
    </row>
    <row r="113" spans="8:15" ht="15.75" customHeight="1">
      <c r="K113" s="584"/>
      <c r="L113" s="584"/>
      <c r="M113" s="584"/>
      <c r="N113" s="584"/>
      <c r="O113" s="584"/>
    </row>
    <row r="114" spans="8:15" ht="15.75" customHeight="1">
      <c r="K114" s="584"/>
      <c r="L114" s="584"/>
      <c r="M114" s="584"/>
      <c r="N114" s="584"/>
      <c r="O114" s="584"/>
    </row>
    <row r="115" spans="8:15" ht="15.75" customHeight="1">
      <c r="H115" s="592" t="s">
        <v>1064</v>
      </c>
      <c r="I115" s="558">
        <f>'2023'!$C$2</f>
        <v>2023</v>
      </c>
      <c r="K115" s="678" t="s">
        <v>1065</v>
      </c>
      <c r="L115" s="645"/>
      <c r="M115" s="645"/>
      <c r="N115" s="558">
        <f>'2023'!$C$2</f>
        <v>2023</v>
      </c>
      <c r="O115" s="584"/>
    </row>
    <row r="116" spans="8:15" ht="15.75" customHeight="1">
      <c r="H116" s="593"/>
      <c r="I116" s="594" t="s">
        <v>1066</v>
      </c>
      <c r="K116" s="585"/>
      <c r="L116" s="586" t="s">
        <v>1067</v>
      </c>
      <c r="M116" s="586" t="s">
        <v>1068</v>
      </c>
      <c r="N116" s="586" t="s">
        <v>1069</v>
      </c>
      <c r="O116" s="584"/>
    </row>
    <row r="117" spans="8:15" ht="15.75" customHeight="1">
      <c r="H117" s="595" t="s">
        <v>1070</v>
      </c>
      <c r="I117" s="596">
        <f>'2023'!BT3</f>
        <v>327915.17000000004</v>
      </c>
      <c r="K117" s="597" t="str">
        <f t="shared" ref="K117:K122" si="1">K90</f>
        <v>FUNCIONAMENTO</v>
      </c>
      <c r="L117" s="597">
        <f t="shared" ref="L117:L122" si="2">M90</f>
        <v>4433298.0300000012</v>
      </c>
      <c r="M117" s="597">
        <f>'2023'!BK3</f>
        <v>0</v>
      </c>
      <c r="N117" s="597">
        <f t="shared" ref="N117:N122" si="3">L117-M117</f>
        <v>4433298.0300000012</v>
      </c>
      <c r="O117" s="584"/>
    </row>
    <row r="118" spans="8:15" ht="15.75" customHeight="1">
      <c r="H118" s="595" t="s">
        <v>1071</v>
      </c>
      <c r="I118" s="596">
        <f>'2023'!BU3</f>
        <v>2646545.2599999998</v>
      </c>
      <c r="K118" s="597" t="str">
        <f t="shared" si="1"/>
        <v>AE - RIP</v>
      </c>
      <c r="L118" s="597">
        <f t="shared" si="2"/>
        <v>1722069.55</v>
      </c>
      <c r="M118" s="597">
        <f>'2023'!BK4</f>
        <v>0</v>
      </c>
      <c r="N118" s="597">
        <f t="shared" si="3"/>
        <v>1722069.55</v>
      </c>
      <c r="O118" s="584"/>
    </row>
    <row r="119" spans="8:15" ht="15.75" customHeight="1">
      <c r="H119" s="595" t="s">
        <v>1072</v>
      </c>
      <c r="I119" s="596">
        <f>'2023'!BV3</f>
        <v>4361073.6399999997</v>
      </c>
      <c r="K119" s="597" t="str">
        <f t="shared" si="1"/>
        <v>AE - AUXÍLIOS</v>
      </c>
      <c r="L119" s="597">
        <f t="shared" si="2"/>
        <v>725293</v>
      </c>
      <c r="M119" s="597">
        <f>'2023'!BK5</f>
        <v>0</v>
      </c>
      <c r="N119" s="597">
        <f t="shared" si="3"/>
        <v>725293</v>
      </c>
      <c r="O119" s="584"/>
    </row>
    <row r="120" spans="8:15" ht="15.75" customHeight="1">
      <c r="H120" s="585" t="s">
        <v>1073</v>
      </c>
      <c r="I120" s="598">
        <f>SUM(I117:I119)</f>
        <v>7335534.0699999994</v>
      </c>
      <c r="K120" s="597" t="str">
        <f t="shared" si="1"/>
        <v>FNDE</v>
      </c>
      <c r="L120" s="597">
        <f t="shared" si="2"/>
        <v>0</v>
      </c>
      <c r="M120" s="597">
        <f>'2023'!BK6</f>
        <v>0</v>
      </c>
      <c r="N120" s="597">
        <f t="shared" si="3"/>
        <v>0</v>
      </c>
      <c r="O120" s="584"/>
    </row>
    <row r="121" spans="8:15" ht="15.75" customHeight="1">
      <c r="H121" s="593"/>
      <c r="I121" s="593"/>
      <c r="K121" s="597" t="str">
        <f t="shared" si="1"/>
        <v>RECEITA PRÓPRIA</v>
      </c>
      <c r="L121" s="597">
        <f t="shared" si="2"/>
        <v>101292.6</v>
      </c>
      <c r="M121" s="597">
        <f>'2023'!BK7</f>
        <v>0</v>
      </c>
      <c r="N121" s="597">
        <f t="shared" si="3"/>
        <v>101292.6</v>
      </c>
      <c r="O121" s="584"/>
    </row>
    <row r="122" spans="8:15" ht="15.75" customHeight="1">
      <c r="H122" s="593"/>
      <c r="I122" s="593"/>
      <c r="K122" s="597" t="str">
        <f t="shared" si="1"/>
        <v>PNE</v>
      </c>
      <c r="L122" s="597">
        <f t="shared" si="2"/>
        <v>92404</v>
      </c>
      <c r="M122" s="597">
        <f>'2023'!BK8</f>
        <v>0</v>
      </c>
      <c r="N122" s="597">
        <f t="shared" si="3"/>
        <v>92404</v>
      </c>
      <c r="O122" s="584"/>
    </row>
    <row r="123" spans="8:15" ht="15.75" customHeight="1">
      <c r="H123" s="593"/>
      <c r="I123" s="593"/>
      <c r="K123" s="585" t="s">
        <v>1073</v>
      </c>
      <c r="L123" s="587">
        <f t="shared" ref="L123:N123" si="4">SUM(L117:L122)</f>
        <v>7074357.1800000006</v>
      </c>
      <c r="M123" s="587">
        <f t="shared" si="4"/>
        <v>0</v>
      </c>
      <c r="N123" s="587">
        <f t="shared" si="4"/>
        <v>7074357.1800000006</v>
      </c>
      <c r="O123" s="584"/>
    </row>
    <row r="124" spans="8:15" ht="15.75" customHeight="1">
      <c r="H124" s="593"/>
      <c r="I124" s="593"/>
      <c r="K124" s="599"/>
      <c r="L124" s="590"/>
      <c r="M124" s="590"/>
      <c r="N124" s="590"/>
      <c r="O124" s="584"/>
    </row>
    <row r="125" spans="8:15" ht="15.75" customHeight="1">
      <c r="H125" s="593"/>
      <c r="I125" s="593"/>
      <c r="K125" s="590"/>
      <c r="L125" s="590"/>
      <c r="M125" s="590"/>
      <c r="N125" s="590"/>
      <c r="O125" s="584"/>
    </row>
    <row r="126" spans="8:15" ht="15.75" customHeight="1">
      <c r="H126" s="593"/>
      <c r="I126" s="593"/>
      <c r="K126" s="590"/>
      <c r="L126" s="590"/>
      <c r="M126" s="590"/>
      <c r="N126" s="590"/>
      <c r="O126" s="584"/>
    </row>
    <row r="127" spans="8:15" ht="15.75" customHeight="1">
      <c r="H127" s="593"/>
      <c r="I127" s="593"/>
      <c r="K127" s="590"/>
      <c r="L127" s="590"/>
      <c r="M127" s="590"/>
      <c r="N127" s="590"/>
      <c r="O127" s="584"/>
    </row>
    <row r="128" spans="8:15" ht="15.75" customHeight="1">
      <c r="H128" s="593"/>
      <c r="I128" s="593"/>
      <c r="K128" s="590"/>
      <c r="L128" s="590"/>
      <c r="M128" s="590"/>
      <c r="N128" s="590"/>
      <c r="O128" s="584"/>
    </row>
    <row r="129" spans="8:20" ht="15.75" customHeight="1">
      <c r="H129" s="593"/>
      <c r="I129" s="593"/>
      <c r="K129" s="590"/>
      <c r="L129" s="590"/>
      <c r="M129" s="590"/>
      <c r="N129" s="590"/>
      <c r="O129" s="584"/>
    </row>
    <row r="130" spans="8:20" ht="15.75" customHeight="1">
      <c r="H130" s="593"/>
      <c r="I130" s="593"/>
      <c r="K130" s="590"/>
      <c r="L130" s="590"/>
      <c r="M130" s="590"/>
      <c r="N130" s="590"/>
      <c r="O130" s="584"/>
    </row>
    <row r="131" spans="8:20" ht="15.75" customHeight="1">
      <c r="H131" s="593"/>
      <c r="I131" s="593"/>
      <c r="K131" s="590"/>
      <c r="L131" s="590"/>
      <c r="M131" s="590"/>
      <c r="N131" s="590"/>
      <c r="O131" s="584"/>
    </row>
    <row r="132" spans="8:20" ht="15.75" customHeight="1">
      <c r="H132" s="593"/>
      <c r="I132" s="593"/>
      <c r="K132" s="590"/>
      <c r="L132" s="590"/>
      <c r="M132" s="590"/>
      <c r="N132" s="590"/>
      <c r="O132" s="584"/>
    </row>
    <row r="133" spans="8:20" ht="15.75" customHeight="1">
      <c r="H133" s="593"/>
      <c r="I133" s="593"/>
      <c r="K133" s="590"/>
      <c r="L133" s="590"/>
      <c r="M133" s="590"/>
      <c r="N133" s="590"/>
      <c r="O133" s="584"/>
    </row>
    <row r="134" spans="8:20" ht="15.75" customHeight="1">
      <c r="H134" s="593"/>
      <c r="I134" s="593"/>
      <c r="K134" s="590"/>
      <c r="L134" s="590"/>
      <c r="M134" s="590"/>
      <c r="N134" s="590"/>
      <c r="O134" s="584"/>
    </row>
    <row r="135" spans="8:20" ht="15.75" customHeight="1">
      <c r="H135" s="593"/>
      <c r="I135" s="593"/>
      <c r="K135" s="590"/>
      <c r="L135" s="590"/>
      <c r="M135" s="590"/>
      <c r="N135" s="590"/>
      <c r="O135" s="584"/>
    </row>
    <row r="136" spans="8:20" ht="15.75" customHeight="1">
      <c r="H136" s="593"/>
      <c r="I136" s="593"/>
      <c r="K136" s="590"/>
      <c r="L136" s="590"/>
      <c r="M136" s="590"/>
      <c r="N136" s="590"/>
      <c r="O136" s="584"/>
    </row>
    <row r="137" spans="8:20" ht="15.75" customHeight="1">
      <c r="H137" s="593"/>
      <c r="I137" s="593"/>
      <c r="K137" s="590"/>
      <c r="L137" s="590"/>
      <c r="M137" s="590"/>
      <c r="N137" s="590"/>
      <c r="O137" s="584"/>
    </row>
    <row r="138" spans="8:20" ht="15.75" customHeight="1">
      <c r="H138" s="593"/>
      <c r="I138" s="593"/>
      <c r="K138" s="590"/>
      <c r="L138" s="590"/>
      <c r="M138" s="590"/>
      <c r="N138" s="590"/>
      <c r="O138" s="584"/>
    </row>
    <row r="139" spans="8:20" ht="15.75" customHeight="1">
      <c r="H139" s="593"/>
      <c r="I139" s="593"/>
      <c r="K139" s="590"/>
      <c r="L139" s="590"/>
      <c r="M139" s="590"/>
      <c r="N139" s="590"/>
      <c r="O139" s="584"/>
    </row>
    <row r="140" spans="8:20" ht="15.75" customHeight="1">
      <c r="K140" s="584"/>
      <c r="L140" s="584"/>
      <c r="M140" s="584"/>
      <c r="N140" s="584"/>
      <c r="O140" s="584"/>
    </row>
    <row r="141" spans="8:20" ht="15.75" customHeight="1">
      <c r="K141" s="584"/>
      <c r="L141" s="584"/>
      <c r="M141" s="584"/>
      <c r="N141" s="584"/>
      <c r="O141" s="584"/>
    </row>
    <row r="142" spans="8:20" ht="15.75" customHeight="1">
      <c r="K142" s="678" t="s">
        <v>1074</v>
      </c>
      <c r="L142" s="645"/>
      <c r="M142" s="645"/>
      <c r="N142" s="558">
        <f>'2023'!$C$2</f>
        <v>2023</v>
      </c>
      <c r="O142" s="584"/>
      <c r="P142" s="679" t="s">
        <v>1075</v>
      </c>
      <c r="Q142" s="645"/>
      <c r="R142" s="645"/>
      <c r="S142" s="558">
        <f>'2023'!$C$2</f>
        <v>2023</v>
      </c>
      <c r="T142" s="600"/>
    </row>
    <row r="143" spans="8:20" ht="15.75" customHeight="1">
      <c r="K143" s="585"/>
      <c r="L143" s="586" t="s">
        <v>1076</v>
      </c>
      <c r="M143" s="586" t="s">
        <v>1077</v>
      </c>
      <c r="N143" s="586" t="s">
        <v>63</v>
      </c>
      <c r="O143" s="584"/>
      <c r="P143" s="585"/>
      <c r="Q143" s="601" t="s">
        <v>1078</v>
      </c>
      <c r="R143" s="601" t="s">
        <v>1079</v>
      </c>
      <c r="S143" s="601" t="s">
        <v>1080</v>
      </c>
      <c r="T143" s="602" t="s">
        <v>1081</v>
      </c>
    </row>
    <row r="144" spans="8:20" ht="15.75" customHeight="1">
      <c r="K144" s="585" t="s">
        <v>1082</v>
      </c>
      <c r="L144" s="587">
        <f>'2023'!S3-L145-L146-L147-L148</f>
        <v>563060.24000000011</v>
      </c>
      <c r="M144" s="587">
        <f t="shared" ref="M144:M145" si="5">M117</f>
        <v>0</v>
      </c>
      <c r="N144" s="587">
        <f t="shared" ref="N144:N149" si="6">SUM(L144:M144)</f>
        <v>563060.24000000011</v>
      </c>
      <c r="O144" s="584"/>
      <c r="P144" s="585" t="s">
        <v>1082</v>
      </c>
      <c r="Q144" s="587">
        <f>'2023'!L3-'2023'!L384-'2023'!L489-'2023'!L515-'2023'!L711</f>
        <v>832450.71999999974</v>
      </c>
      <c r="R144" s="587">
        <f>'2023'!E3</f>
        <v>4909157.17</v>
      </c>
      <c r="S144" s="603">
        <f>'2023'!H117+'2023'!H124+'2023'!H127+'2023'!H360+'2023'!H364+'2023'!H366+'2023'!H368+'2023'!H559+'2023'!H629+'2023'!H630+'2023'!H712+'2023'!H718+'2023'!H720+'2023'!H12</f>
        <v>603000</v>
      </c>
      <c r="T144" s="604">
        <f t="shared" ref="T144:T148" si="7">SUM(Q144:S144)</f>
        <v>6344607.8899999997</v>
      </c>
    </row>
    <row r="145" spans="11:20" ht="15.75" customHeight="1">
      <c r="K145" s="585" t="s">
        <v>497</v>
      </c>
      <c r="L145" s="587">
        <f>'2023'!S384-'2023'!S489-'2023'!S400</f>
        <v>272155.85999999993</v>
      </c>
      <c r="M145" s="587">
        <f t="shared" si="5"/>
        <v>0</v>
      </c>
      <c r="N145" s="587">
        <f t="shared" si="6"/>
        <v>272155.85999999993</v>
      </c>
      <c r="O145" s="584"/>
      <c r="P145" s="585" t="s">
        <v>497</v>
      </c>
      <c r="Q145" s="587">
        <f>'2023'!L384</f>
        <v>379792.59999999992</v>
      </c>
      <c r="R145" s="587">
        <f>'2023'!H420</f>
        <v>2073197.3100000003</v>
      </c>
      <c r="S145" s="603">
        <f>'2023'!H516</f>
        <v>0</v>
      </c>
      <c r="T145" s="604">
        <f t="shared" si="7"/>
        <v>2452989.91</v>
      </c>
    </row>
    <row r="146" spans="11:20" ht="15.75" customHeight="1">
      <c r="K146" s="585" t="s">
        <v>629</v>
      </c>
      <c r="L146" s="587">
        <f>'2023'!S489</f>
        <v>54646.899999999994</v>
      </c>
      <c r="M146" s="587">
        <f t="shared" ref="M146:M148" si="8">M120</f>
        <v>0</v>
      </c>
      <c r="N146" s="587">
        <f t="shared" si="6"/>
        <v>54646.899999999994</v>
      </c>
      <c r="O146" s="584"/>
      <c r="P146" s="585" t="s">
        <v>629</v>
      </c>
      <c r="Q146" s="587">
        <f>'2023'!L489</f>
        <v>70259.799999999988</v>
      </c>
      <c r="R146" s="587">
        <f>'2023'!H489</f>
        <v>266193.2</v>
      </c>
      <c r="S146" s="605">
        <v>0</v>
      </c>
      <c r="T146" s="604">
        <f t="shared" si="7"/>
        <v>336453</v>
      </c>
    </row>
    <row r="147" spans="11:20" ht="15.75" customHeight="1">
      <c r="K147" s="585" t="s">
        <v>1083</v>
      </c>
      <c r="L147" s="587">
        <f>'2023'!S141+'2023'!S259+'2023'!S400+'2023'!S378+'2023'!S744</f>
        <v>149509.72999999998</v>
      </c>
      <c r="M147" s="587">
        <f t="shared" si="8"/>
        <v>0</v>
      </c>
      <c r="N147" s="587">
        <f t="shared" si="6"/>
        <v>149509.72999999998</v>
      </c>
      <c r="O147" s="584"/>
      <c r="P147" s="585" t="s">
        <v>1083</v>
      </c>
      <c r="Q147" s="587">
        <f>'2023'!L141+'2023'!L259+'2023'!L378+'2023'!L400+'2023'!L744</f>
        <v>258299.43000000002</v>
      </c>
      <c r="R147" s="587">
        <f>0</f>
        <v>0</v>
      </c>
      <c r="S147" s="605">
        <v>0</v>
      </c>
      <c r="T147" s="604">
        <f t="shared" si="7"/>
        <v>258299.43000000002</v>
      </c>
    </row>
    <row r="148" spans="11:20" ht="15.75" customHeight="1">
      <c r="K148" s="585" t="s">
        <v>1084</v>
      </c>
      <c r="L148" s="587">
        <f>'2023'!S254+'2023'!S257+'2023'!S725+'2023'!S740</f>
        <v>343224.4</v>
      </c>
      <c r="M148" s="587">
        <f t="shared" si="8"/>
        <v>0</v>
      </c>
      <c r="N148" s="587">
        <f t="shared" si="6"/>
        <v>343224.4</v>
      </c>
      <c r="O148" s="584"/>
      <c r="P148" s="585" t="s">
        <v>1084</v>
      </c>
      <c r="Q148" s="587">
        <f>'2023'!L725+'2023'!L740</f>
        <v>343634.4</v>
      </c>
      <c r="R148" s="605">
        <v>0</v>
      </c>
      <c r="S148" s="587">
        <f>'2023'!H113+'2023'!H115+'2023'!H123+'2023'!H125+'2023'!H128+'2023'!H139+'2023'!H250+'2023'!H370+'2023'!H519+'2023'!H522+'2023'!H524+'2023'!H526+'2023'!H626+'2023'!H628+'2023'!H722</f>
        <v>9303000</v>
      </c>
      <c r="T148" s="604">
        <f t="shared" si="7"/>
        <v>9646634.4000000004</v>
      </c>
    </row>
    <row r="149" spans="11:20" ht="15.75" customHeight="1">
      <c r="K149" s="585" t="s">
        <v>1073</v>
      </c>
      <c r="L149" s="587">
        <f t="shared" ref="L149:M149" si="9">SUM(L144:L148)</f>
        <v>1382597.1300000001</v>
      </c>
      <c r="M149" s="587">
        <f t="shared" si="9"/>
        <v>0</v>
      </c>
      <c r="N149" s="587">
        <f t="shared" si="6"/>
        <v>1382597.1300000001</v>
      </c>
      <c r="O149" s="584"/>
      <c r="P149" s="585" t="s">
        <v>1073</v>
      </c>
      <c r="Q149" s="587">
        <f t="shared" ref="Q149:S149" si="10">SUM(Q144:Q148)</f>
        <v>1884436.9499999997</v>
      </c>
      <c r="R149" s="587">
        <f t="shared" si="10"/>
        <v>7248547.6800000006</v>
      </c>
      <c r="S149" s="587">
        <f t="shared" si="10"/>
        <v>9906000</v>
      </c>
      <c r="T149" s="587">
        <f>SUM(R149:S149)</f>
        <v>17154547.68</v>
      </c>
    </row>
    <row r="150" spans="11:20" ht="15.75" customHeight="1">
      <c r="K150" s="590"/>
      <c r="L150" s="590"/>
      <c r="M150" s="590"/>
      <c r="N150" s="590"/>
      <c r="O150" s="584"/>
      <c r="P150" s="590"/>
      <c r="Q150" s="590"/>
      <c r="R150" s="590"/>
      <c r="S150" s="590"/>
      <c r="T150" s="606"/>
    </row>
    <row r="151" spans="11:20" ht="15.75" customHeight="1">
      <c r="K151" s="599"/>
      <c r="L151" s="590"/>
      <c r="M151" s="590"/>
      <c r="N151" s="590"/>
      <c r="O151" s="584"/>
      <c r="P151" s="599"/>
      <c r="Q151" s="590"/>
      <c r="R151" s="590"/>
      <c r="S151" s="590"/>
      <c r="T151" s="606"/>
    </row>
    <row r="152" spans="11:20" ht="15.75" customHeight="1">
      <c r="K152" s="590"/>
      <c r="L152" s="590"/>
      <c r="M152" s="590"/>
      <c r="N152" s="590"/>
      <c r="O152" s="584"/>
      <c r="P152" s="590"/>
      <c r="Q152" s="590"/>
      <c r="R152" s="590"/>
      <c r="S152" s="590"/>
      <c r="T152" s="606"/>
    </row>
    <row r="153" spans="11:20" ht="15.75" customHeight="1">
      <c r="K153" s="590"/>
      <c r="L153" s="590"/>
      <c r="M153" s="590"/>
      <c r="N153" s="590"/>
      <c r="O153" s="584"/>
      <c r="P153" s="590"/>
      <c r="Q153" s="590"/>
      <c r="R153" s="590"/>
      <c r="S153" s="590"/>
      <c r="T153" s="606"/>
    </row>
    <row r="154" spans="11:20" ht="15.75" customHeight="1">
      <c r="K154" s="590"/>
      <c r="L154" s="590"/>
      <c r="M154" s="590"/>
      <c r="N154" s="590"/>
      <c r="O154" s="584"/>
      <c r="P154" s="590"/>
      <c r="Q154" s="590"/>
      <c r="R154" s="590"/>
      <c r="S154" s="590"/>
      <c r="T154" s="606"/>
    </row>
    <row r="155" spans="11:20" ht="15.75" customHeight="1">
      <c r="K155" s="590"/>
      <c r="L155" s="590"/>
      <c r="M155" s="590"/>
      <c r="N155" s="590"/>
      <c r="O155" s="584"/>
      <c r="P155" s="590"/>
      <c r="Q155" s="590"/>
      <c r="R155" s="590"/>
      <c r="S155" s="590"/>
      <c r="T155" s="606"/>
    </row>
    <row r="156" spans="11:20" ht="15.75" customHeight="1">
      <c r="K156" s="590"/>
      <c r="L156" s="590"/>
      <c r="M156" s="590"/>
      <c r="N156" s="590"/>
      <c r="O156" s="584"/>
      <c r="P156" s="590"/>
      <c r="Q156" s="590"/>
      <c r="R156" s="590"/>
      <c r="S156" s="590"/>
      <c r="T156" s="606"/>
    </row>
    <row r="157" spans="11:20" ht="15.75" customHeight="1">
      <c r="K157" s="590"/>
      <c r="L157" s="590"/>
      <c r="M157" s="590"/>
      <c r="N157" s="590"/>
      <c r="O157" s="584"/>
      <c r="P157" s="590"/>
      <c r="Q157" s="590"/>
      <c r="R157" s="590"/>
      <c r="S157" s="590"/>
      <c r="T157" s="606"/>
    </row>
    <row r="158" spans="11:20" ht="15.75" customHeight="1">
      <c r="K158" s="590"/>
      <c r="L158" s="590"/>
      <c r="M158" s="590"/>
      <c r="N158" s="590"/>
      <c r="O158" s="584"/>
      <c r="P158" s="590"/>
      <c r="Q158" s="590"/>
      <c r="R158" s="590"/>
      <c r="S158" s="590"/>
      <c r="T158" s="606"/>
    </row>
    <row r="159" spans="11:20" ht="15.75" customHeight="1">
      <c r="K159" s="590"/>
      <c r="L159" s="590"/>
      <c r="M159" s="590"/>
      <c r="N159" s="590"/>
      <c r="O159" s="584"/>
      <c r="P159" s="590"/>
      <c r="Q159" s="590"/>
      <c r="R159" s="590"/>
      <c r="S159" s="590"/>
      <c r="T159" s="606"/>
    </row>
    <row r="160" spans="11:20" ht="15.75" customHeight="1">
      <c r="K160" s="590"/>
      <c r="L160" s="590"/>
      <c r="M160" s="590"/>
      <c r="N160" s="590"/>
      <c r="O160" s="584"/>
      <c r="P160" s="590"/>
      <c r="Q160" s="590"/>
      <c r="R160" s="590"/>
      <c r="S160" s="590"/>
      <c r="T160" s="606"/>
    </row>
    <row r="161" spans="8:20" ht="15.75" customHeight="1">
      <c r="K161" s="590"/>
      <c r="L161" s="590"/>
      <c r="M161" s="590"/>
      <c r="N161" s="590"/>
      <c r="O161" s="584"/>
      <c r="P161" s="590"/>
      <c r="Q161" s="590"/>
      <c r="R161" s="590"/>
      <c r="S161" s="590"/>
      <c r="T161" s="606"/>
    </row>
    <row r="162" spans="8:20" ht="15.75" customHeight="1">
      <c r="K162" s="590"/>
      <c r="L162" s="590"/>
      <c r="M162" s="590"/>
      <c r="N162" s="590"/>
      <c r="O162" s="584"/>
      <c r="P162" s="590"/>
      <c r="Q162" s="590"/>
      <c r="R162" s="590"/>
      <c r="S162" s="590"/>
      <c r="T162" s="606"/>
    </row>
    <row r="163" spans="8:20" ht="15.75" customHeight="1">
      <c r="K163" s="590"/>
      <c r="L163" s="590"/>
      <c r="M163" s="590"/>
      <c r="N163" s="590"/>
      <c r="O163" s="584"/>
      <c r="P163" s="590"/>
      <c r="Q163" s="590"/>
      <c r="R163" s="590"/>
      <c r="S163" s="590"/>
      <c r="T163" s="606"/>
    </row>
    <row r="164" spans="8:20" ht="15.75" customHeight="1">
      <c r="K164" s="590"/>
      <c r="L164" s="590"/>
      <c r="M164" s="590"/>
      <c r="N164" s="590"/>
      <c r="O164" s="584"/>
      <c r="P164" s="590"/>
      <c r="Q164" s="590"/>
      <c r="R164" s="590"/>
      <c r="S164" s="590"/>
      <c r="T164" s="606"/>
    </row>
    <row r="165" spans="8:20" ht="15.75" customHeight="1">
      <c r="K165" s="590"/>
      <c r="L165" s="590"/>
      <c r="M165" s="590"/>
      <c r="N165" s="590"/>
      <c r="O165" s="584"/>
      <c r="P165" s="590"/>
      <c r="Q165" s="590"/>
      <c r="R165" s="590"/>
      <c r="S165" s="590"/>
      <c r="T165" s="606"/>
    </row>
    <row r="166" spans="8:20" ht="15.75" customHeight="1">
      <c r="K166" s="590"/>
      <c r="L166" s="590"/>
      <c r="M166" s="590"/>
      <c r="N166" s="590"/>
      <c r="O166" s="584"/>
      <c r="P166" s="590"/>
      <c r="Q166" s="590"/>
      <c r="R166" s="590"/>
      <c r="S166" s="590"/>
      <c r="T166" s="606"/>
    </row>
    <row r="167" spans="8:20" ht="15.75" customHeight="1">
      <c r="K167" s="584"/>
      <c r="L167" s="584"/>
      <c r="M167" s="584"/>
      <c r="N167" s="584"/>
      <c r="O167" s="584"/>
    </row>
    <row r="168" spans="8:20" ht="15.75" customHeight="1">
      <c r="K168" s="584"/>
      <c r="L168" s="584"/>
      <c r="M168" s="584"/>
      <c r="N168" s="584"/>
      <c r="O168" s="584"/>
    </row>
    <row r="169" spans="8:20" ht="15.75" customHeight="1">
      <c r="H169" s="592" t="s">
        <v>1085</v>
      </c>
      <c r="I169" s="558">
        <f>'2023'!$C$2</f>
        <v>2023</v>
      </c>
      <c r="K169" s="678" t="s">
        <v>1086</v>
      </c>
      <c r="L169" s="645"/>
      <c r="M169" s="645"/>
      <c r="N169" s="558">
        <f>'2023'!$C$2</f>
        <v>2023</v>
      </c>
      <c r="O169" s="584"/>
      <c r="P169" s="679" t="s">
        <v>1087</v>
      </c>
      <c r="Q169" s="645"/>
      <c r="R169" s="645"/>
      <c r="S169" s="645"/>
      <c r="T169" s="645"/>
    </row>
    <row r="170" spans="8:20" ht="15.75" customHeight="1">
      <c r="H170" s="593"/>
      <c r="I170" s="594" t="s">
        <v>1066</v>
      </c>
      <c r="K170" s="585"/>
      <c r="L170" s="586" t="s">
        <v>1076</v>
      </c>
      <c r="M170" s="586" t="s">
        <v>1077</v>
      </c>
      <c r="N170" s="586" t="s">
        <v>63</v>
      </c>
      <c r="O170" s="584"/>
      <c r="P170" s="585"/>
      <c r="Q170" s="601">
        <v>2020</v>
      </c>
      <c r="R170" s="601">
        <v>2021</v>
      </c>
      <c r="S170" s="601">
        <v>2022</v>
      </c>
      <c r="T170" s="607">
        <v>2023</v>
      </c>
    </row>
    <row r="171" spans="8:20" ht="15.75" customHeight="1">
      <c r="H171" s="585" t="str">
        <f>'2023'!$D$805</f>
        <v>Díarias e Passagens</v>
      </c>
      <c r="I171" s="596">
        <f>'2023'!BW805</f>
        <v>29900</v>
      </c>
      <c r="K171" s="585" t="str">
        <f>'2023'!$D$805</f>
        <v>Díarias e Passagens</v>
      </c>
      <c r="L171" s="587">
        <f>'2023'!S805</f>
        <v>0</v>
      </c>
      <c r="M171" s="587">
        <f>'2023'!R805+'2023'!T805</f>
        <v>20458.530000000002</v>
      </c>
      <c r="N171" s="587">
        <f t="shared" ref="N171:N182" si="11">SUM(L171:M171)</f>
        <v>20458.530000000002</v>
      </c>
      <c r="O171" s="584"/>
      <c r="P171" s="608" t="s">
        <v>1082</v>
      </c>
      <c r="Q171" s="609">
        <v>5160027.01</v>
      </c>
      <c r="R171" s="609">
        <v>4095939.68</v>
      </c>
      <c r="S171" s="609">
        <v>4124319</v>
      </c>
      <c r="T171" s="610">
        <f>'2023'!E3</f>
        <v>4909157.17</v>
      </c>
    </row>
    <row r="172" spans="8:20" ht="15.75" customHeight="1">
      <c r="H172" s="585" t="str">
        <f>'2023'!$D$806</f>
        <v>Auxílios Financeiros a Estudantes</v>
      </c>
      <c r="I172" s="596">
        <f>'2023'!BW806</f>
        <v>909647</v>
      </c>
      <c r="K172" s="585" t="str">
        <f>'2023'!$D$806</f>
        <v>Auxílios Financeiros a Estudantes</v>
      </c>
      <c r="L172" s="587">
        <f>'2023'!S806</f>
        <v>0</v>
      </c>
      <c r="M172" s="587">
        <f>'2023'!R806+'2023'!T806</f>
        <v>239746</v>
      </c>
      <c r="N172" s="587">
        <f t="shared" si="11"/>
        <v>239746</v>
      </c>
      <c r="O172" s="584"/>
      <c r="P172" s="611" t="s">
        <v>1088</v>
      </c>
      <c r="Q172" s="612">
        <f>(Q171*$Q$176)+Q171</f>
        <v>5382424.1741309995</v>
      </c>
      <c r="R172" s="612">
        <f>(Q172*$R$176)+Q172</f>
        <v>5625709.7468017209</v>
      </c>
      <c r="S172" s="612">
        <f t="shared" ref="S172:T172" si="12">(R172*S176)+R172</f>
        <v>6191656.147329974</v>
      </c>
      <c r="T172" s="612">
        <f t="shared" si="12"/>
        <v>6549533.8726456463</v>
      </c>
    </row>
    <row r="173" spans="8:20" ht="15.75" customHeight="1">
      <c r="H173" s="585" t="str">
        <f>'2023'!$D$807</f>
        <v>Material de Consumo</v>
      </c>
      <c r="I173" s="596">
        <f>'2023'!BW807</f>
        <v>888587.62000000023</v>
      </c>
      <c r="K173" s="585" t="str">
        <f>'2023'!$D$807</f>
        <v>Material de Consumo</v>
      </c>
      <c r="L173" s="587">
        <f>'2023'!S807</f>
        <v>401758.26</v>
      </c>
      <c r="M173" s="587">
        <f>'2023'!R807+'2023'!T807</f>
        <v>475012.34000000014</v>
      </c>
      <c r="N173" s="587">
        <f t="shared" si="11"/>
        <v>876770.60000000009</v>
      </c>
      <c r="O173" s="584"/>
      <c r="P173" s="613" t="s">
        <v>497</v>
      </c>
      <c r="Q173" s="614">
        <f>1815101.02+1118102.13</f>
        <v>2933203.15</v>
      </c>
      <c r="R173" s="609">
        <v>2971059.39</v>
      </c>
      <c r="S173" s="609">
        <v>2759944.87</v>
      </c>
      <c r="T173" s="610">
        <f>'2023'!H420</f>
        <v>2073197.3100000003</v>
      </c>
    </row>
    <row r="174" spans="8:20" ht="15.75" customHeight="1">
      <c r="H174" s="585" t="str">
        <f>'2023'!$D$808</f>
        <v>Serviços Pessoa Física</v>
      </c>
      <c r="I174" s="596">
        <f>'2023'!BW808</f>
        <v>3528</v>
      </c>
      <c r="K174" s="585" t="str">
        <f>'2023'!$D$808</f>
        <v>Serviços Pessoa Física</v>
      </c>
      <c r="L174" s="587">
        <f>'2023'!S808</f>
        <v>0</v>
      </c>
      <c r="M174" s="587">
        <f>'2023'!R808+'2023'!T808</f>
        <v>0</v>
      </c>
      <c r="N174" s="587">
        <f t="shared" si="11"/>
        <v>0</v>
      </c>
      <c r="O174" s="584"/>
      <c r="P174" s="611" t="s">
        <v>1089</v>
      </c>
      <c r="Q174" s="612">
        <f>(Q173*Q176)+Q173</f>
        <v>3059624.2057650001</v>
      </c>
      <c r="R174" s="612">
        <f t="shared" ref="R174:T174" si="13">(Q174*$R$176)+Q174</f>
        <v>3197919.2198655782</v>
      </c>
      <c r="S174" s="612">
        <f t="shared" si="13"/>
        <v>3342465.1686035022</v>
      </c>
      <c r="T174" s="612">
        <f t="shared" si="13"/>
        <v>3493544.5942243803</v>
      </c>
    </row>
    <row r="175" spans="8:20">
      <c r="H175" s="615" t="str">
        <f>'2023'!$D$809</f>
        <v>Serviços Terceirizados com Mão de Obra</v>
      </c>
      <c r="I175" s="596">
        <f>'2023'!BW809</f>
        <v>3640599.22</v>
      </c>
      <c r="K175" s="615" t="str">
        <f>'2023'!$D$809</f>
        <v>Serviços Terceirizados com Mão de Obra</v>
      </c>
      <c r="L175" s="587">
        <f>'2023'!S809</f>
        <v>270964.13999999996</v>
      </c>
      <c r="M175" s="587">
        <f>'2023'!R809+'2023'!T809</f>
        <v>1505563.81</v>
      </c>
      <c r="N175" s="587">
        <f t="shared" si="11"/>
        <v>1776527.95</v>
      </c>
      <c r="O175" s="584"/>
      <c r="P175" s="608"/>
      <c r="Q175" s="616">
        <v>2019</v>
      </c>
      <c r="R175" s="616">
        <v>2020</v>
      </c>
      <c r="S175" s="616">
        <v>2021</v>
      </c>
      <c r="T175" s="616">
        <v>2022</v>
      </c>
    </row>
    <row r="176" spans="8:20" ht="15.75" customHeight="1">
      <c r="H176" s="585" t="str">
        <f>'2023'!$D$810</f>
        <v>Serviços Terceirizados por Demanda</v>
      </c>
      <c r="I176" s="596">
        <f>'2023'!BW810</f>
        <v>822924.50000000012</v>
      </c>
      <c r="K176" s="585" t="str">
        <f>'2023'!$D$810</f>
        <v>Serviços Terceirizados por Demanda</v>
      </c>
      <c r="L176" s="587">
        <f>'2023'!S810</f>
        <v>67507.899999999994</v>
      </c>
      <c r="M176" s="587">
        <f>'2023'!R810+'2023'!T810</f>
        <v>41330.17</v>
      </c>
      <c r="N176" s="587">
        <f t="shared" si="11"/>
        <v>108838.06999999999</v>
      </c>
      <c r="O176" s="584"/>
      <c r="P176" s="611" t="s">
        <v>1090</v>
      </c>
      <c r="Q176" s="617">
        <v>4.3099999999999999E-2</v>
      </c>
      <c r="R176" s="617">
        <v>4.5199999999999997E-2</v>
      </c>
      <c r="S176" s="617">
        <v>0.10059999999999999</v>
      </c>
      <c r="T176" s="618">
        <v>5.7799999999999997E-2</v>
      </c>
    </row>
    <row r="177" spans="8:20" ht="15.75" customHeight="1">
      <c r="H177" s="585" t="str">
        <f>'2023'!$D$811</f>
        <v>Serviços de Energia Elétrica</v>
      </c>
      <c r="I177" s="596">
        <f>'2023'!BW811</f>
        <v>649824.63</v>
      </c>
      <c r="K177" s="585" t="str">
        <f>'2023'!$D$811</f>
        <v>Serviços de Energia Elétrica</v>
      </c>
      <c r="L177" s="587">
        <f>'2023'!S811</f>
        <v>43586.67</v>
      </c>
      <c r="M177" s="587">
        <f>'2023'!R811+'2023'!T811</f>
        <v>218886.61000000002</v>
      </c>
      <c r="N177" s="587">
        <f t="shared" si="11"/>
        <v>262473.28000000003</v>
      </c>
      <c r="O177" s="584"/>
      <c r="P177" s="599"/>
      <c r="Q177" s="590"/>
      <c r="R177" s="590"/>
      <c r="S177" s="590"/>
      <c r="T177" s="606"/>
    </row>
    <row r="178" spans="8:20">
      <c r="H178" s="615" t="str">
        <f>'2023'!$D$812</f>
        <v>Serviços de Tecnologia da Informação</v>
      </c>
      <c r="I178" s="596">
        <f>'2023'!BW812</f>
        <v>193431.47</v>
      </c>
      <c r="K178" s="615" t="str">
        <f>'2023'!$D$812</f>
        <v>Serviços de Tecnologia da Informação</v>
      </c>
      <c r="L178" s="587">
        <f>'2023'!S812</f>
        <v>21350.3</v>
      </c>
      <c r="M178" s="587">
        <f>'2023'!R812+'2023'!T812</f>
        <v>32294.760000000002</v>
      </c>
      <c r="N178" s="587">
        <f t="shared" si="11"/>
        <v>53645.06</v>
      </c>
      <c r="O178" s="584"/>
      <c r="P178" s="599"/>
      <c r="Q178" s="590"/>
      <c r="R178" s="590"/>
      <c r="S178" s="590"/>
      <c r="T178" s="606"/>
    </row>
    <row r="179" spans="8:20" ht="15.75" customHeight="1">
      <c r="H179" s="585" t="str">
        <f>'2023'!$D$813</f>
        <v>Obrigações Tributárias e Previdenciárias</v>
      </c>
      <c r="I179" s="596">
        <f>'2023'!BW813</f>
        <v>2503.63</v>
      </c>
      <c r="K179" s="585" t="str">
        <f>'2023'!$D$813</f>
        <v>Obrigações Tributárias e Previdenciárias</v>
      </c>
      <c r="L179" s="587">
        <f>'2023'!S813</f>
        <v>490.41</v>
      </c>
      <c r="M179" s="587">
        <f>'2023'!R813+'2023'!T813</f>
        <v>467.33</v>
      </c>
      <c r="N179" s="587">
        <f t="shared" si="11"/>
        <v>957.74</v>
      </c>
      <c r="O179" s="584"/>
      <c r="P179" s="590"/>
      <c r="Q179" s="590"/>
      <c r="R179" s="590"/>
      <c r="S179" s="590"/>
      <c r="T179" s="606"/>
    </row>
    <row r="180" spans="8:20" ht="15.75" customHeight="1">
      <c r="H180" s="585" t="str">
        <f>'2023'!$D$814</f>
        <v>Outras Despesas Correntes</v>
      </c>
      <c r="I180" s="596">
        <f>'2023'!BW814</f>
        <v>23817.35</v>
      </c>
      <c r="K180" s="585" t="str">
        <f>'2023'!$D$814</f>
        <v>Outras Despesas Correntes</v>
      </c>
      <c r="L180" s="587">
        <f>'2023'!S814</f>
        <v>0</v>
      </c>
      <c r="M180" s="587">
        <f>'2023'!R814+'2023'!T814</f>
        <v>7057.14</v>
      </c>
      <c r="N180" s="587">
        <f t="shared" si="11"/>
        <v>7057.14</v>
      </c>
      <c r="O180" s="584"/>
      <c r="P180" s="590"/>
      <c r="Q180" s="590"/>
      <c r="R180" s="590"/>
      <c r="S180" s="590"/>
      <c r="T180" s="606"/>
    </row>
    <row r="181" spans="8:20" ht="15.75" customHeight="1">
      <c r="H181" s="585" t="str">
        <f>'2023'!$D$815</f>
        <v>Obras e Instalações</v>
      </c>
      <c r="I181" s="596">
        <f>'2023'!BW815</f>
        <v>0</v>
      </c>
      <c r="K181" s="585" t="str">
        <f>'2023'!$D$815</f>
        <v>Obras e Instalações</v>
      </c>
      <c r="L181" s="587">
        <f>'2023'!S815</f>
        <v>0</v>
      </c>
      <c r="M181" s="587">
        <f>'2023'!R815+'2023'!T815</f>
        <v>0</v>
      </c>
      <c r="N181" s="587">
        <f t="shared" si="11"/>
        <v>0</v>
      </c>
      <c r="O181" s="584"/>
      <c r="P181" s="590"/>
      <c r="Q181" s="590"/>
      <c r="R181" s="590"/>
      <c r="S181" s="590"/>
      <c r="T181" s="606"/>
    </row>
    <row r="182" spans="8:20" ht="15.75" customHeight="1">
      <c r="H182" s="585" t="str">
        <f>'2023'!$D$816</f>
        <v>Equipamentos e Material Permanente</v>
      </c>
      <c r="I182" s="596">
        <f>'2023'!BW816</f>
        <v>141098.65</v>
      </c>
      <c r="K182" s="585" t="str">
        <f>'2023'!$D$816</f>
        <v>Equipamentos e Material Permanente</v>
      </c>
      <c r="L182" s="587">
        <f>'2023'!S816</f>
        <v>576939.44999999995</v>
      </c>
      <c r="M182" s="587">
        <f>'2023'!R816+'2023'!T816</f>
        <v>86007</v>
      </c>
      <c r="N182" s="587">
        <f t="shared" si="11"/>
        <v>662946.44999999995</v>
      </c>
      <c r="O182" s="584"/>
      <c r="P182" s="590"/>
      <c r="Q182" s="590"/>
      <c r="R182" s="590"/>
      <c r="S182" s="590"/>
      <c r="T182" s="606"/>
    </row>
    <row r="183" spans="8:20" ht="15.75" customHeight="1">
      <c r="H183" s="585" t="s">
        <v>1073</v>
      </c>
      <c r="I183" s="596">
        <f>SUM(I171:I182)</f>
        <v>7305862.0699999994</v>
      </c>
      <c r="K183" s="585" t="s">
        <v>1073</v>
      </c>
      <c r="L183" s="587">
        <f t="shared" ref="L183:N183" si="14">SUM(L170:L182)</f>
        <v>1382597.13</v>
      </c>
      <c r="M183" s="587">
        <f t="shared" si="14"/>
        <v>2626823.69</v>
      </c>
      <c r="N183" s="587">
        <f t="shared" si="14"/>
        <v>4009420.8200000003</v>
      </c>
      <c r="O183" s="584"/>
      <c r="P183" s="590"/>
      <c r="Q183" s="590"/>
      <c r="R183" s="590"/>
      <c r="S183" s="590"/>
      <c r="T183" s="606"/>
    </row>
    <row r="184" spans="8:20" ht="15.75" customHeight="1">
      <c r="H184" s="593"/>
      <c r="I184" s="593"/>
      <c r="K184" s="590"/>
      <c r="L184" s="590"/>
      <c r="M184" s="590"/>
      <c r="N184" s="590"/>
      <c r="O184" s="584"/>
      <c r="P184" s="590"/>
      <c r="Q184" s="590"/>
      <c r="R184" s="590"/>
      <c r="S184" s="590"/>
      <c r="T184" s="606"/>
    </row>
    <row r="185" spans="8:20" ht="15.75" customHeight="1">
      <c r="H185" s="593"/>
      <c r="I185" s="593"/>
      <c r="K185" s="590"/>
      <c r="L185" s="590"/>
      <c r="M185" s="590"/>
      <c r="N185" s="590"/>
      <c r="O185" s="584"/>
      <c r="P185" s="590"/>
      <c r="Q185" s="590"/>
      <c r="R185" s="590"/>
      <c r="S185" s="590"/>
      <c r="T185" s="606"/>
    </row>
    <row r="186" spans="8:20" ht="15.75" customHeight="1">
      <c r="H186" s="593"/>
      <c r="I186" s="593"/>
      <c r="K186" s="599"/>
      <c r="L186" s="590"/>
      <c r="M186" s="590"/>
      <c r="N186" s="590"/>
      <c r="O186" s="584"/>
      <c r="P186" s="590"/>
      <c r="Q186" s="590"/>
      <c r="R186" s="590"/>
      <c r="S186" s="590"/>
      <c r="T186" s="606"/>
    </row>
    <row r="187" spans="8:20" ht="15.75" customHeight="1">
      <c r="H187" s="593"/>
      <c r="I187" s="593"/>
      <c r="K187" s="590"/>
      <c r="L187" s="590"/>
      <c r="M187" s="590"/>
      <c r="N187" s="590"/>
      <c r="O187" s="584"/>
      <c r="P187" s="590"/>
      <c r="Q187" s="590"/>
      <c r="R187" s="590"/>
      <c r="S187" s="590"/>
      <c r="T187" s="606"/>
    </row>
    <row r="188" spans="8:20" ht="15.75" customHeight="1">
      <c r="H188" s="593"/>
      <c r="I188" s="593"/>
      <c r="K188" s="590"/>
      <c r="L188" s="590"/>
      <c r="M188" s="590"/>
      <c r="N188" s="590"/>
      <c r="O188" s="584"/>
      <c r="P188" s="590"/>
      <c r="Q188" s="590"/>
      <c r="R188" s="590"/>
      <c r="S188" s="590"/>
      <c r="T188" s="606"/>
    </row>
    <row r="189" spans="8:20" ht="15.75" customHeight="1">
      <c r="H189" s="593"/>
      <c r="I189" s="593"/>
      <c r="K189" s="590"/>
      <c r="L189" s="590"/>
      <c r="M189" s="590"/>
      <c r="N189" s="590"/>
      <c r="O189" s="584"/>
      <c r="P189" s="590"/>
      <c r="Q189" s="590"/>
      <c r="R189" s="590"/>
      <c r="S189" s="590"/>
      <c r="T189" s="606"/>
    </row>
    <row r="190" spans="8:20" ht="15.75" customHeight="1">
      <c r="H190" s="593"/>
      <c r="I190" s="593"/>
      <c r="K190" s="590"/>
      <c r="L190" s="590"/>
      <c r="M190" s="590"/>
      <c r="N190" s="590"/>
      <c r="O190" s="584"/>
      <c r="P190" s="590"/>
      <c r="Q190" s="590"/>
      <c r="R190" s="590"/>
      <c r="S190" s="590"/>
      <c r="T190" s="606"/>
    </row>
    <row r="191" spans="8:20" ht="15.75" customHeight="1">
      <c r="H191" s="593"/>
      <c r="I191" s="593"/>
      <c r="K191" s="590"/>
      <c r="L191" s="590"/>
      <c r="M191" s="590"/>
      <c r="N191" s="590"/>
      <c r="O191" s="584"/>
      <c r="P191" s="590"/>
      <c r="Q191" s="590"/>
      <c r="R191" s="590"/>
      <c r="S191" s="590"/>
      <c r="T191" s="606"/>
    </row>
    <row r="192" spans="8:20" ht="15.75" customHeight="1">
      <c r="H192" s="593"/>
      <c r="I192" s="593"/>
      <c r="K192" s="590"/>
      <c r="L192" s="590"/>
      <c r="M192" s="590"/>
      <c r="N192" s="590"/>
      <c r="O192" s="584"/>
      <c r="P192" s="590"/>
      <c r="Q192" s="590"/>
      <c r="R192" s="590"/>
      <c r="S192" s="590"/>
      <c r="T192" s="606"/>
    </row>
    <row r="193" spans="8:21" ht="15.75" customHeight="1">
      <c r="H193" s="593"/>
      <c r="I193" s="593"/>
      <c r="K193" s="590"/>
      <c r="L193" s="590"/>
      <c r="M193" s="590"/>
      <c r="N193" s="590"/>
      <c r="O193" s="584"/>
      <c r="P193" s="590"/>
      <c r="Q193" s="590"/>
      <c r="R193" s="590"/>
      <c r="S193" s="590"/>
      <c r="T193" s="606"/>
    </row>
    <row r="194" spans="8:21" ht="15.75" customHeight="1">
      <c r="H194" s="593"/>
      <c r="I194" s="593"/>
      <c r="K194" s="590"/>
      <c r="L194" s="590"/>
      <c r="M194" s="590"/>
      <c r="N194" s="590"/>
      <c r="O194" s="584"/>
    </row>
    <row r="195" spans="8:21" ht="15.75" customHeight="1">
      <c r="H195" s="593"/>
      <c r="I195" s="593"/>
      <c r="K195" s="590"/>
      <c r="L195" s="590"/>
      <c r="M195" s="590"/>
      <c r="N195" s="590"/>
      <c r="O195" s="584"/>
      <c r="P195" s="680" t="s">
        <v>1091</v>
      </c>
      <c r="Q195" s="645"/>
      <c r="R195" s="645"/>
      <c r="S195" s="645"/>
      <c r="T195" s="645"/>
      <c r="U195" s="645"/>
    </row>
    <row r="196" spans="8:21" ht="15.75" customHeight="1">
      <c r="H196" s="593"/>
      <c r="I196" s="593"/>
      <c r="K196" s="590"/>
      <c r="L196" s="590"/>
      <c r="M196" s="590"/>
      <c r="N196" s="590"/>
      <c r="O196" s="584"/>
      <c r="P196" s="619"/>
      <c r="Q196" s="620"/>
      <c r="R196" s="621" t="s">
        <v>1092</v>
      </c>
      <c r="S196" s="621" t="s">
        <v>1093</v>
      </c>
      <c r="T196" s="621" t="s">
        <v>1094</v>
      </c>
      <c r="U196" s="621" t="s">
        <v>1095</v>
      </c>
    </row>
    <row r="197" spans="8:21" ht="15.75" customHeight="1">
      <c r="H197" s="593"/>
      <c r="I197" s="593"/>
      <c r="K197" s="590"/>
      <c r="L197" s="590"/>
      <c r="M197" s="590"/>
      <c r="N197" s="590"/>
      <c r="O197" s="584"/>
      <c r="P197" s="622" t="s">
        <v>1096</v>
      </c>
      <c r="Q197" s="623"/>
      <c r="R197" s="624">
        <f t="shared" ref="R197:T197" si="15">SUM(R198:R219)</f>
        <v>3399334.44</v>
      </c>
      <c r="S197" s="624">
        <f t="shared" si="15"/>
        <v>2796334.44</v>
      </c>
      <c r="T197" s="624">
        <f t="shared" si="15"/>
        <v>603000</v>
      </c>
      <c r="U197" s="625">
        <f t="shared" ref="U197:U208" si="16">T197/R197</f>
        <v>0.17738766533368808</v>
      </c>
    </row>
    <row r="198" spans="8:21" ht="15.75" customHeight="1">
      <c r="H198" s="593"/>
      <c r="I198" s="593"/>
      <c r="K198" s="590"/>
      <c r="L198" s="590"/>
      <c r="M198" s="590"/>
      <c r="N198" s="590"/>
      <c r="O198" s="584"/>
      <c r="P198" s="626" t="str">
        <f>'2023'!D13</f>
        <v>Díarias e Passagens</v>
      </c>
      <c r="Q198" s="627"/>
      <c r="R198" s="628">
        <f t="shared" ref="R198:R208" si="17">SUM(S198+T198)</f>
        <v>72000</v>
      </c>
      <c r="S198" s="628">
        <f>'2023'!E5+'2023'!E274</f>
        <v>52000</v>
      </c>
      <c r="T198" s="628">
        <f>'2023'!H12+'2023'!H360</f>
        <v>20000</v>
      </c>
      <c r="U198" s="629">
        <f t="shared" si="16"/>
        <v>0.27777777777777779</v>
      </c>
    </row>
    <row r="199" spans="8:21" ht="15.75" customHeight="1">
      <c r="H199" s="593"/>
      <c r="I199" s="593"/>
      <c r="K199" s="590"/>
      <c r="L199" s="590"/>
      <c r="M199" s="590"/>
      <c r="N199" s="590"/>
      <c r="O199" s="584"/>
      <c r="P199" s="626" t="str">
        <f>'2023'!D118</f>
        <v>Limpeza e Conservação</v>
      </c>
      <c r="Q199" s="627"/>
      <c r="R199" s="628">
        <f t="shared" si="17"/>
        <v>608354.43999999994</v>
      </c>
      <c r="S199" s="628">
        <f>'2023'!E48</f>
        <v>608354.43999999994</v>
      </c>
      <c r="T199" s="628">
        <f>'2023'!H118</f>
        <v>0</v>
      </c>
      <c r="U199" s="629">
        <f t="shared" si="16"/>
        <v>0</v>
      </c>
    </row>
    <row r="200" spans="8:21" ht="15.75" customHeight="1">
      <c r="H200" s="593"/>
      <c r="I200" s="593"/>
      <c r="K200" s="590"/>
      <c r="L200" s="590"/>
      <c r="M200" s="590"/>
      <c r="N200" s="590"/>
      <c r="O200" s="584"/>
      <c r="P200" s="626" t="str">
        <f>'2023'!D119</f>
        <v>Vigilância</v>
      </c>
      <c r="Q200" s="627"/>
      <c r="R200" s="628">
        <f t="shared" si="17"/>
        <v>553880</v>
      </c>
      <c r="S200" s="628">
        <f>'2023'!E50</f>
        <v>553880</v>
      </c>
      <c r="T200" s="628">
        <f>'2023'!H119</f>
        <v>0</v>
      </c>
      <c r="U200" s="629">
        <f t="shared" si="16"/>
        <v>0</v>
      </c>
    </row>
    <row r="201" spans="8:21" ht="15.75" customHeight="1">
      <c r="H201" s="593"/>
      <c r="I201" s="593"/>
      <c r="K201" s="590"/>
      <c r="L201" s="590"/>
      <c r="M201" s="590"/>
      <c r="N201" s="590"/>
      <c r="O201" s="584"/>
      <c r="P201" s="627" t="str">
        <f>'2023'!D120</f>
        <v>Manutenção Predial</v>
      </c>
      <c r="Q201" s="627"/>
      <c r="R201" s="628">
        <f t="shared" si="17"/>
        <v>366600</v>
      </c>
      <c r="S201" s="628">
        <f>'2023'!E58</f>
        <v>366600</v>
      </c>
      <c r="T201" s="628">
        <f>'2023'!H120</f>
        <v>0</v>
      </c>
      <c r="U201" s="629">
        <f t="shared" si="16"/>
        <v>0</v>
      </c>
    </row>
    <row r="202" spans="8:21" ht="15.75" customHeight="1">
      <c r="H202" s="593"/>
      <c r="I202" s="593"/>
      <c r="K202" s="590"/>
      <c r="L202" s="590"/>
      <c r="M202" s="590"/>
      <c r="N202" s="590"/>
      <c r="O202" s="584"/>
      <c r="P202" s="627" t="str">
        <f>'2023'!D719</f>
        <v>Apoio Administrativo - Serviços Agropecuários- PHENIX</v>
      </c>
      <c r="Q202" s="627"/>
      <c r="R202" s="628">
        <f t="shared" si="17"/>
        <v>600000</v>
      </c>
      <c r="S202" s="628">
        <f>'2023'!E695</f>
        <v>600000</v>
      </c>
      <c r="T202" s="628">
        <f>'2023'!H719</f>
        <v>0</v>
      </c>
      <c r="U202" s="629">
        <f t="shared" si="16"/>
        <v>0</v>
      </c>
    </row>
    <row r="203" spans="8:21" ht="15.75" customHeight="1">
      <c r="K203" s="584"/>
      <c r="L203" s="584"/>
      <c r="M203" s="584"/>
      <c r="N203" s="584"/>
      <c r="O203" s="584"/>
      <c r="P203" s="627" t="str">
        <f>'2023'!D126</f>
        <v>Serviços de Energia Elétrica</v>
      </c>
      <c r="Q203" s="627"/>
      <c r="R203" s="628">
        <f t="shared" si="17"/>
        <v>383000</v>
      </c>
      <c r="S203" s="628">
        <f>'2023'!E86</f>
        <v>383000</v>
      </c>
      <c r="T203" s="628">
        <f>'2023'!H126</f>
        <v>0</v>
      </c>
      <c r="U203" s="629">
        <f t="shared" si="16"/>
        <v>0</v>
      </c>
    </row>
    <row r="204" spans="8:21" ht="15.75" customHeight="1">
      <c r="P204" s="627" t="str">
        <f>'2023'!D560</f>
        <v>Auxílios Financeiros a Estudantes</v>
      </c>
      <c r="Q204" s="627"/>
      <c r="R204" s="628">
        <f t="shared" si="17"/>
        <v>170000</v>
      </c>
      <c r="S204" s="628">
        <f>'2023'!E550</f>
        <v>40000</v>
      </c>
      <c r="T204" s="628">
        <f>'2023'!H560</f>
        <v>130000</v>
      </c>
      <c r="U204" s="629">
        <f t="shared" si="16"/>
        <v>0.76470588235294112</v>
      </c>
    </row>
    <row r="205" spans="8:21" ht="15.75" customHeight="1">
      <c r="P205" s="627" t="str">
        <f>'2023'!D713</f>
        <v>Material de Consumo - Combustível</v>
      </c>
      <c r="Q205" s="627"/>
      <c r="R205" s="628">
        <f t="shared" si="17"/>
        <v>165000</v>
      </c>
      <c r="S205" s="628">
        <f>'2023'!E638</f>
        <v>67500</v>
      </c>
      <c r="T205" s="628">
        <f>'2023'!H713</f>
        <v>97500</v>
      </c>
      <c r="U205" s="629">
        <f t="shared" si="16"/>
        <v>0.59090909090909094</v>
      </c>
    </row>
    <row r="206" spans="8:21" ht="15.75" customHeight="1">
      <c r="P206" s="627" t="str">
        <f>'2023'!D721</f>
        <v>Manutenção e Conservação de Veículos</v>
      </c>
      <c r="Q206" s="627"/>
      <c r="R206" s="628">
        <f t="shared" si="17"/>
        <v>137500</v>
      </c>
      <c r="S206" s="628">
        <f>'2023'!E690</f>
        <v>10000</v>
      </c>
      <c r="T206" s="628">
        <f>'2023'!H721</f>
        <v>127500</v>
      </c>
      <c r="U206" s="629">
        <f t="shared" si="16"/>
        <v>0.92727272727272725</v>
      </c>
    </row>
    <row r="207" spans="8:21" ht="15.75" customHeight="1">
      <c r="P207" s="627" t="str">
        <f>'2023'!D716</f>
        <v>Mat Consumo - Sementes, Mudas e Insumos</v>
      </c>
      <c r="Q207" s="627"/>
      <c r="R207" s="628">
        <f t="shared" si="17"/>
        <v>130000</v>
      </c>
      <c r="S207" s="628">
        <f>'2023'!E687</f>
        <v>80000</v>
      </c>
      <c r="T207" s="628">
        <f>'2023'!H716</f>
        <v>50000</v>
      </c>
      <c r="U207" s="629">
        <f t="shared" si="16"/>
        <v>0.38461538461538464</v>
      </c>
    </row>
    <row r="208" spans="8:21" ht="15.75" customHeight="1">
      <c r="P208" s="627" t="str">
        <f>'2023'!D715</f>
        <v>Material de Consumo - Manut de Bens Imóveis/Inst (Conteiner)</v>
      </c>
      <c r="Q208" s="627"/>
      <c r="R208" s="628">
        <f t="shared" si="17"/>
        <v>55000</v>
      </c>
      <c r="S208" s="628">
        <f>'2023'!E679</f>
        <v>25000</v>
      </c>
      <c r="T208" s="628">
        <f>'2023'!H715</f>
        <v>30000</v>
      </c>
      <c r="U208" s="629">
        <f t="shared" si="16"/>
        <v>0.54545454545454541</v>
      </c>
    </row>
    <row r="209" spans="16:21" ht="15.75" customHeight="1">
      <c r="P209" s="681" t="s">
        <v>1097</v>
      </c>
      <c r="Q209" s="645"/>
      <c r="R209" s="645"/>
      <c r="S209" s="645"/>
      <c r="T209" s="645"/>
      <c r="U209" s="645"/>
    </row>
    <row r="210" spans="16:21" ht="15.75" customHeight="1">
      <c r="P210" s="619"/>
      <c r="Q210" s="620"/>
      <c r="R210" s="621" t="s">
        <v>1092</v>
      </c>
      <c r="S210" s="621" t="s">
        <v>1093</v>
      </c>
      <c r="T210" s="621" t="s">
        <v>1094</v>
      </c>
      <c r="U210" s="621" t="s">
        <v>1095</v>
      </c>
    </row>
    <row r="211" spans="16:21" ht="15.75" customHeight="1">
      <c r="P211" s="627" t="str">
        <f>'2023'!D124</f>
        <v>Serviços de Manutenção - Rede de Alta Tensão</v>
      </c>
      <c r="Q211" s="627"/>
      <c r="R211" s="628">
        <f t="shared" ref="R211:R219" si="18">SUM(S211+T211)</f>
        <v>80000</v>
      </c>
      <c r="S211" s="628">
        <f>'2023'!E65</f>
        <v>0</v>
      </c>
      <c r="T211" s="628">
        <f>'2023'!H124</f>
        <v>80000</v>
      </c>
      <c r="U211" s="629">
        <f t="shared" ref="U211:U219" si="19">T211/R211</f>
        <v>1</v>
      </c>
    </row>
    <row r="212" spans="16:21" ht="15.75" customHeight="1">
      <c r="P212" s="627" t="str">
        <f>'2023'!D365</f>
        <v>Serviços Técnicos Profissionais - PF - Semanas Acadêmicas</v>
      </c>
      <c r="Q212" s="627"/>
      <c r="R212" s="628">
        <f t="shared" si="18"/>
        <v>40000</v>
      </c>
      <c r="S212" s="628">
        <f>'2023'!E291</f>
        <v>0</v>
      </c>
      <c r="T212" s="628">
        <f>'2023'!H365</f>
        <v>40000</v>
      </c>
      <c r="U212" s="629">
        <f t="shared" si="19"/>
        <v>1</v>
      </c>
    </row>
    <row r="213" spans="16:21" ht="15.75" customHeight="1">
      <c r="P213" s="627" t="str">
        <f>'2023'!D367</f>
        <v>Serviços de Transportes - ARGENTA</v>
      </c>
      <c r="Q213" s="627"/>
      <c r="R213" s="628">
        <f t="shared" si="18"/>
        <v>0</v>
      </c>
      <c r="S213" s="628">
        <f>'2023'!E303</f>
        <v>0</v>
      </c>
      <c r="T213" s="628">
        <f>'2023'!H367</f>
        <v>0</v>
      </c>
      <c r="U213" s="629" t="e">
        <f t="shared" si="19"/>
        <v>#DIV/0!</v>
      </c>
    </row>
    <row r="214" spans="16:21" ht="15.75" customHeight="1">
      <c r="P214" s="627" t="str">
        <f>'2023'!D369</f>
        <v>Contribuições Previdenciárias-Serviços PF-Semanas Acadêmicas</v>
      </c>
      <c r="Q214" s="627"/>
      <c r="R214" s="628">
        <f t="shared" si="18"/>
        <v>8000</v>
      </c>
      <c r="S214" s="628">
        <f>'2023'!E307</f>
        <v>0</v>
      </c>
      <c r="T214" s="628">
        <f>'2023'!H369</f>
        <v>8000</v>
      </c>
      <c r="U214" s="629">
        <f t="shared" si="19"/>
        <v>1</v>
      </c>
    </row>
    <row r="215" spans="16:21" ht="15.75" customHeight="1">
      <c r="P215" s="627" t="str">
        <f>'2023'!D564</f>
        <v>Serviços de Transportes - MEPT</v>
      </c>
      <c r="Q215" s="627"/>
      <c r="R215" s="628">
        <f t="shared" si="18"/>
        <v>0</v>
      </c>
      <c r="S215" s="628">
        <f>'2023'!E548</f>
        <v>0</v>
      </c>
      <c r="T215" s="628">
        <f>'2023'!H564</f>
        <v>0</v>
      </c>
      <c r="U215" s="629" t="e">
        <f t="shared" si="19"/>
        <v>#DIV/0!</v>
      </c>
    </row>
    <row r="216" spans="16:21" ht="15.75" customHeight="1">
      <c r="P216" s="627">
        <f>'2023'!D629</f>
        <v>0</v>
      </c>
      <c r="Q216" s="627"/>
      <c r="R216" s="628">
        <f t="shared" si="18"/>
        <v>5000</v>
      </c>
      <c r="S216" s="628">
        <f>'2023'!E585</f>
        <v>5000</v>
      </c>
      <c r="T216" s="628">
        <f>'2023'!H629</f>
        <v>0</v>
      </c>
      <c r="U216" s="629">
        <f t="shared" si="19"/>
        <v>0</v>
      </c>
    </row>
    <row r="217" spans="16:21" ht="15.75" customHeight="1">
      <c r="P217" s="627">
        <f>'2023'!D630</f>
        <v>0</v>
      </c>
      <c r="Q217" s="627"/>
      <c r="R217" s="628">
        <f t="shared" si="18"/>
        <v>5000</v>
      </c>
      <c r="S217" s="628">
        <f>'2023'!E585</f>
        <v>5000</v>
      </c>
      <c r="T217" s="628">
        <f>'2023'!H630</f>
        <v>0</v>
      </c>
      <c r="U217" s="629">
        <f t="shared" si="19"/>
        <v>0</v>
      </c>
    </row>
    <row r="218" spans="16:21" ht="15.75" customHeight="1">
      <c r="P218" s="627" t="str">
        <f>'2023'!D714</f>
        <v>Material de Consumo - Alimentação Animal</v>
      </c>
      <c r="Q218" s="627"/>
      <c r="R218" s="628">
        <f t="shared" si="18"/>
        <v>0</v>
      </c>
      <c r="S218" s="628">
        <f>'2023'!E640</f>
        <v>0</v>
      </c>
      <c r="T218" s="628">
        <f>'2023'!H714</f>
        <v>0</v>
      </c>
      <c r="U218" s="629" t="e">
        <f t="shared" si="19"/>
        <v>#DIV/0!</v>
      </c>
    </row>
    <row r="219" spans="16:21" ht="15.75" customHeight="1">
      <c r="P219" s="627" t="str">
        <f>'2023'!D717</f>
        <v>Material de Consumo - B Móveis (Central de Resíduos)</v>
      </c>
      <c r="Q219" s="627"/>
      <c r="R219" s="628">
        <f t="shared" si="18"/>
        <v>20000</v>
      </c>
      <c r="S219" s="628">
        <f>'2023'!E691</f>
        <v>0</v>
      </c>
      <c r="T219" s="628">
        <f>'2023'!H717</f>
        <v>20000</v>
      </c>
      <c r="U219" s="629">
        <f t="shared" si="19"/>
        <v>1</v>
      </c>
    </row>
    <row r="220" spans="16:21" ht="15.75" customHeight="1"/>
    <row r="221" spans="16:21" ht="15.75" customHeight="1">
      <c r="P221" s="681" t="s">
        <v>1098</v>
      </c>
      <c r="Q221" s="645"/>
      <c r="R221" s="645"/>
      <c r="S221" s="645"/>
      <c r="T221" s="645"/>
      <c r="U221" s="645"/>
    </row>
    <row r="222" spans="16:21" ht="15.75" customHeight="1">
      <c r="P222" s="619"/>
      <c r="Q222" s="620"/>
      <c r="R222" s="621" t="s">
        <v>1092</v>
      </c>
      <c r="S222" s="621" t="s">
        <v>1093</v>
      </c>
      <c r="T222" s="621" t="s">
        <v>1094</v>
      </c>
      <c r="U222" s="621" t="s">
        <v>1095</v>
      </c>
    </row>
    <row r="223" spans="16:21" ht="15.75" customHeight="1">
      <c r="P223" s="622" t="s">
        <v>1099</v>
      </c>
      <c r="Q223" s="623"/>
      <c r="R223" s="624">
        <f t="shared" ref="R223:T223" si="20">SUM(R224)</f>
        <v>0</v>
      </c>
      <c r="S223" s="624">
        <f t="shared" si="20"/>
        <v>0</v>
      </c>
      <c r="T223" s="624">
        <f t="shared" si="20"/>
        <v>0</v>
      </c>
      <c r="U223" s="625" t="e">
        <f t="shared" ref="U223:U224" si="21">T223/R223</f>
        <v>#DIV/0!</v>
      </c>
    </row>
    <row r="224" spans="16:21" ht="15.75" customHeight="1">
      <c r="P224" s="630" t="str">
        <f>'2023'!D516</f>
        <v>Auxílios Financeiros a Estudantes</v>
      </c>
      <c r="R224" s="628">
        <f>SUM(S224+T224)</f>
        <v>0</v>
      </c>
      <c r="S224" s="628">
        <f>'2023'!E407</f>
        <v>0</v>
      </c>
      <c r="T224" s="628">
        <f>'2023'!H516</f>
        <v>0</v>
      </c>
      <c r="U224" s="629" t="e">
        <f t="shared" si="21"/>
        <v>#DIV/0!</v>
      </c>
    </row>
    <row r="225" spans="16:21" ht="15.75" customHeight="1"/>
    <row r="226" spans="16:21" ht="15.75" customHeight="1">
      <c r="P226" s="681" t="s">
        <v>1100</v>
      </c>
      <c r="Q226" s="645"/>
      <c r="R226" s="645"/>
      <c r="S226" s="645"/>
      <c r="T226" s="631"/>
      <c r="U226" s="631"/>
    </row>
    <row r="227" spans="16:21" ht="15.75" customHeight="1">
      <c r="P227" s="619"/>
      <c r="Q227" s="620"/>
      <c r="R227" s="621"/>
      <c r="S227" s="621" t="s">
        <v>1080</v>
      </c>
      <c r="T227" s="632"/>
    </row>
    <row r="228" spans="16:21" ht="15.75" customHeight="1">
      <c r="P228" s="622" t="s">
        <v>1101</v>
      </c>
      <c r="Q228" s="623"/>
      <c r="R228" s="623"/>
      <c r="S228" s="624">
        <f>SUM(S229:S257)</f>
        <v>9303000</v>
      </c>
      <c r="T228" s="633"/>
    </row>
    <row r="229" spans="16:21" ht="15.75" customHeight="1">
      <c r="P229" s="630" t="str">
        <f>'2023'!D114</f>
        <v>Diárias a servidores (Projeto de Extensão - Recicladores)</v>
      </c>
      <c r="S229" s="634">
        <f>'2023'!H114</f>
        <v>3000</v>
      </c>
    </row>
    <row r="230" spans="16:21" ht="15.75" customHeight="1">
      <c r="P230" s="630" t="str">
        <f>'2023'!D116</f>
        <v>Material de Consumo - Embalagens (Proj de Ext - Recicladores)</v>
      </c>
      <c r="S230" s="634">
        <f>'2023'!H116</f>
        <v>10000</v>
      </c>
    </row>
    <row r="231" spans="16:21" ht="15.75" customHeight="1">
      <c r="P231" s="630" t="str">
        <f>'2023'!D140</f>
        <v>Equipamentos - Associação de Recicladores (Projeto de Extensão)</v>
      </c>
      <c r="S231" s="634">
        <f>'2023'!H140</f>
        <v>500000</v>
      </c>
    </row>
    <row r="232" spans="16:21" ht="15.75" customHeight="1">
      <c r="P232" s="630" t="str">
        <f>'2023'!D123</f>
        <v>Serviços Técnicos - Sinalização Viária, Identificação de Prédios</v>
      </c>
      <c r="S232" s="634">
        <f>'2023'!H123</f>
        <v>100000</v>
      </c>
    </row>
    <row r="233" spans="16:21" ht="15.75" customHeight="1">
      <c r="P233" s="630" t="str">
        <f>'2023'!D125</f>
        <v>Serviços de Manutenção - SINAPI (Ref.do Abatedouro - Emenda)</v>
      </c>
      <c r="S233" s="634">
        <f>'2023'!H125</f>
        <v>250000</v>
      </c>
    </row>
    <row r="234" spans="16:21" ht="15.75" customHeight="1">
      <c r="P234" s="630" t="str">
        <f>'2023'!D129</f>
        <v>Obras em Andamento - Rede Coletora para Efluentes (EO)</v>
      </c>
      <c r="S234" s="634">
        <f>'2023'!H129</f>
        <v>300000</v>
      </c>
    </row>
    <row r="235" spans="16:21" ht="15.75" customHeight="1">
      <c r="P235" s="630" t="str">
        <f>'2023'!D130</f>
        <v>Obras em Andamento - Pavilhão p/compostagem (EO)</v>
      </c>
      <c r="S235" s="634">
        <f>'2023'!H130</f>
        <v>250000</v>
      </c>
    </row>
    <row r="236" spans="16:21" ht="15.75" customHeight="1">
      <c r="P236" s="630" t="str">
        <f>'2023'!D131</f>
        <v>Obras em Andamento - Convivência Terceirizados (EO)</v>
      </c>
      <c r="S236" s="634">
        <f>'2023'!H131</f>
        <v>400000</v>
      </c>
    </row>
    <row r="237" spans="16:21" ht="15.75" customHeight="1">
      <c r="P237" s="630" t="str">
        <f>'2023'!D132</f>
        <v>Obras em Andamento - Projeto Prédio de Laboratórios (EO)</v>
      </c>
      <c r="S237" s="634">
        <f>'2023'!H132</f>
        <v>2500000</v>
      </c>
    </row>
    <row r="238" spans="16:21" ht="15.75" customHeight="1">
      <c r="P238" s="630" t="str">
        <f>'2023'!D133</f>
        <v>Obras em Andamento - Reforma Abatedouro (EO)</v>
      </c>
      <c r="S238" s="634">
        <f>'2023'!H133</f>
        <v>1000000</v>
      </c>
    </row>
    <row r="239" spans="16:21" ht="15.75" customHeight="1">
      <c r="P239" s="630" t="str">
        <f>'2023'!D134</f>
        <v>Obras em Andamento - Acessibilidade Auditório (EO)</v>
      </c>
      <c r="S239" s="634">
        <f>'2023'!H134</f>
        <v>300000</v>
      </c>
    </row>
    <row r="240" spans="16:21" ht="15.75" customHeight="1">
      <c r="P240" s="630" t="str">
        <f>'2023'!D135</f>
        <v>Obras em Andamento - Ampliação do Hall do Auditório (EO)</v>
      </c>
      <c r="S240" s="634">
        <f>'2023'!H135</f>
        <v>400000</v>
      </c>
    </row>
    <row r="241" spans="16:19" ht="15.75" customHeight="1">
      <c r="P241" s="630" t="str">
        <f>'2023'!D136</f>
        <v>Instalações - Placas Fotovoltaicas (EO)</v>
      </c>
      <c r="S241" s="634">
        <f>'2023'!H136</f>
        <v>300000</v>
      </c>
    </row>
    <row r="242" spans="16:19" ht="15.75" customHeight="1">
      <c r="P242" s="681" t="s">
        <v>1102</v>
      </c>
      <c r="Q242" s="645"/>
      <c r="R242" s="645"/>
      <c r="S242" s="645"/>
    </row>
    <row r="243" spans="16:19" ht="15.75" customHeight="1">
      <c r="P243" s="619"/>
      <c r="Q243" s="620"/>
      <c r="R243" s="621"/>
      <c r="S243" s="621" t="s">
        <v>1080</v>
      </c>
    </row>
    <row r="244" spans="16:19" ht="15.75" customHeight="1">
      <c r="P244" s="630" t="str">
        <f>'2023'!D137</f>
        <v>Instalações - Poços Artesianos (EO)</v>
      </c>
      <c r="S244" s="634">
        <f>'2023'!H137</f>
        <v>150000</v>
      </c>
    </row>
    <row r="245" spans="16:19" ht="15.75" customHeight="1">
      <c r="P245" s="630" t="str">
        <f>'2023'!D138</f>
        <v>Instalações - PPCI (EO)</v>
      </c>
      <c r="S245" s="634">
        <f>'2023'!H138</f>
        <v>300000</v>
      </c>
    </row>
    <row r="246" spans="16:19" ht="15.75" customHeight="1">
      <c r="P246" s="630" t="str">
        <f>'2023'!D253</f>
        <v>Equipamentos de TIC Permanente - Computadores (Extraorçam.)</v>
      </c>
      <c r="S246" s="634">
        <f>'2023'!H253</f>
        <v>250000</v>
      </c>
    </row>
    <row r="247" spans="16:19" ht="15.75" customHeight="1">
      <c r="P247" s="630" t="str">
        <f>'2023'!D371</f>
        <v>Material Permanente - Equip Laboratórios (Extraorçamentário)</v>
      </c>
      <c r="S247" s="634">
        <f>'2023'!H371</f>
        <v>50000</v>
      </c>
    </row>
    <row r="248" spans="16:19" ht="15.75" customHeight="1">
      <c r="P248" s="630" t="str">
        <f>'2023'!D372</f>
        <v>Material Permanente - Livros (Extraorçamentário)</v>
      </c>
      <c r="S248" s="634">
        <f>'2023'!H372</f>
        <v>100000</v>
      </c>
    </row>
    <row r="249" spans="16:19" ht="15.75" customHeight="1">
      <c r="P249" s="630" t="str">
        <f>'2023'!D373</f>
        <v>Material Permanente - Mobiliário (Extraorçamentário)</v>
      </c>
      <c r="S249" s="634">
        <f>'2023'!H373</f>
        <v>50000</v>
      </c>
    </row>
    <row r="250" spans="16:19" ht="15.75" customHeight="1">
      <c r="P250" s="630" t="str">
        <f>'2023'!D520</f>
        <v>Apoio Administrativo - Cuidador - PHENIX (PTRES 170803)</v>
      </c>
      <c r="S250" s="634">
        <f>'2023'!H520</f>
        <v>0</v>
      </c>
    </row>
    <row r="251" spans="16:19" ht="15.75" customHeight="1">
      <c r="P251" s="630" t="str">
        <f>'2023'!D523</f>
        <v>Manutenção e Conservação de Imóveis-JD CONSTRUÇÕES</v>
      </c>
      <c r="S251" s="634">
        <f>'2023'!H523</f>
        <v>250000</v>
      </c>
    </row>
    <row r="252" spans="16:19" ht="15.75" customHeight="1">
      <c r="P252" s="630" t="str">
        <f>'2023'!D525</f>
        <v>Material Permanente - Ar Condicionados (Extraorçamentário)</v>
      </c>
      <c r="S252" s="634">
        <f>'2023'!H525</f>
        <v>200000</v>
      </c>
    </row>
    <row r="253" spans="16:19" ht="15.75" customHeight="1">
      <c r="P253" s="630" t="str">
        <f>'2023'!D527</f>
        <v>Obras em Andamento - Centro de Saúde (EO)</v>
      </c>
      <c r="S253" s="634">
        <f>'2023'!H527</f>
        <v>1000000</v>
      </c>
    </row>
    <row r="254" spans="16:19" ht="15.75" customHeight="1">
      <c r="P254" s="630" t="str">
        <f>'2023'!D626</f>
        <v>Materias e Medicamentos Veterinários - "Bem Estar Animal"</v>
      </c>
      <c r="S254" s="634">
        <f>'2023'!H626</f>
        <v>20000</v>
      </c>
    </row>
    <row r="255" spans="16:19" ht="15.75" customHeight="1">
      <c r="P255" s="630" t="str">
        <f>'2023'!D628</f>
        <v>Manutenção e Conservação de Veículos - "Bem Estar Animal"</v>
      </c>
      <c r="S255" s="634">
        <f>'2023'!H628</f>
        <v>200000</v>
      </c>
    </row>
    <row r="256" spans="16:19" ht="15.75" customHeight="1">
      <c r="P256" s="630" t="str">
        <f>'2023'!D723</f>
        <v>Obras em Andamento - Galpões Tambo (Extraorçamentário)</v>
      </c>
      <c r="S256" s="634">
        <f>'2023'!H723</f>
        <v>270000</v>
      </c>
    </row>
    <row r="257" spans="16:19" ht="15.75" customHeight="1">
      <c r="P257" s="630" t="str">
        <f>'2023'!D724</f>
        <v>Instalações - Tanque para Combustível (Extraorçamentário)</v>
      </c>
      <c r="S257" s="634">
        <f>'2023'!H724</f>
        <v>150000</v>
      </c>
    </row>
    <row r="258" spans="16:19" ht="15.75" customHeight="1"/>
    <row r="259" spans="16:19" ht="15.75" customHeight="1"/>
    <row r="260" spans="16:19" ht="15.75" customHeight="1"/>
    <row r="261" spans="16:19" ht="15.75" customHeight="1"/>
    <row r="262" spans="16:19" ht="15.75" customHeight="1"/>
    <row r="263" spans="16:19" ht="15.75" customHeight="1"/>
    <row r="264" spans="16:19" ht="15.75" customHeight="1"/>
    <row r="265" spans="16:19" ht="15.75" customHeight="1"/>
    <row r="266" spans="16:19" ht="15.75" customHeight="1"/>
    <row r="267" spans="16:19" ht="15.75" customHeight="1"/>
    <row r="268" spans="16:19" ht="15.75" customHeight="1"/>
    <row r="269" spans="16:19" ht="15.75" customHeight="1"/>
    <row r="270" spans="16:19" ht="15.75" customHeight="1"/>
    <row r="271" spans="16:19" ht="15.75" customHeight="1"/>
    <row r="272" spans="16:19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sheetProtection sheet="1" objects="1" scenarios="1" selectLockedCells="1" selectUnlockedCells="1"/>
  <mergeCells count="14">
    <mergeCell ref="P226:S226"/>
    <mergeCell ref="P242:S242"/>
    <mergeCell ref="K32:L32"/>
    <mergeCell ref="K61:L61"/>
    <mergeCell ref="H62:I62"/>
    <mergeCell ref="K88:L88"/>
    <mergeCell ref="K115:M115"/>
    <mergeCell ref="K142:M142"/>
    <mergeCell ref="P142:R142"/>
    <mergeCell ref="K169:M169"/>
    <mergeCell ref="P169:T169"/>
    <mergeCell ref="P195:U195"/>
    <mergeCell ref="P209:U209"/>
    <mergeCell ref="P221:U221"/>
  </mergeCells>
  <pageMargins left="0.18182559004186577" right="7.4869360605474125E-2" top="0.78740157499999996" bottom="0.78740157499999996" header="0" footer="0"/>
  <pageSetup paperSize="9" scale="12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2023</vt:lpstr>
      <vt:lpstr>Gráficos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Gilson Edo Alves Parodes</dc:creator>
  <cp:lastModifiedBy>Gilson Edo Alves Parodes</cp:lastModifiedBy>
  <dcterms:created xsi:type="dcterms:W3CDTF">2022-01-11T20:44:27Z</dcterms:created>
  <dcterms:modified xsi:type="dcterms:W3CDTF">2024-02-02T12:29:59Z</dcterms:modified>
</cp:coreProperties>
</file>